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cky\OneDrive\Documents\library\Government finance\"/>
    </mc:Choice>
  </mc:AlternateContent>
  <bookViews>
    <workbookView xWindow="0" yWindow="0" windowWidth="23040" windowHeight="9372"/>
  </bookViews>
  <sheets>
    <sheet name="Sheet1" sheetId="1" r:id="rId1"/>
    <sheet name="Sheet2" sheetId="2" r:id="rId2"/>
    <sheet name="Sheet3" sheetId="3" r:id="rId3"/>
  </sheets>
  <calcPr calcId="162913"/>
</workbook>
</file>

<file path=xl/calcChain.xml><?xml version="1.0" encoding="utf-8"?>
<calcChain xmlns="http://schemas.openxmlformats.org/spreadsheetml/2006/main">
  <c r="C27" i="1" l="1"/>
  <c r="C76" i="1" l="1"/>
  <c r="F75" i="1"/>
  <c r="H75" i="1" s="1"/>
  <c r="H76" i="1" s="1"/>
  <c r="E75" i="1"/>
  <c r="G75" i="1" s="1"/>
  <c r="G76" i="1" s="1"/>
  <c r="C72" i="1"/>
  <c r="F70" i="1"/>
  <c r="H70" i="1" s="1"/>
  <c r="E70" i="1"/>
  <c r="G70" i="1" s="1"/>
  <c r="C67" i="1"/>
  <c r="F66" i="1"/>
  <c r="H66" i="1" s="1"/>
  <c r="H67" i="1" s="1"/>
  <c r="E66" i="1"/>
  <c r="G66" i="1" s="1"/>
  <c r="G67" i="1" s="1"/>
  <c r="C63" i="1"/>
  <c r="F62" i="1"/>
  <c r="H62" i="1" s="1"/>
  <c r="E62" i="1"/>
  <c r="G62" i="1" s="1"/>
  <c r="F61" i="1"/>
  <c r="H61" i="1" s="1"/>
  <c r="E61" i="1"/>
  <c r="G61" i="1" s="1"/>
  <c r="C58" i="1"/>
  <c r="F57" i="1"/>
  <c r="H57" i="1" s="1"/>
  <c r="E57" i="1"/>
  <c r="G57" i="1" s="1"/>
  <c r="F54" i="1"/>
  <c r="H54" i="1" s="1"/>
  <c r="E54" i="1"/>
  <c r="G54" i="1" s="1"/>
  <c r="C51" i="1"/>
  <c r="F49" i="1"/>
  <c r="H49" i="1" s="1"/>
  <c r="E49" i="1"/>
  <c r="G49" i="1" s="1"/>
  <c r="F48" i="1"/>
  <c r="H48" i="1" s="1"/>
  <c r="E48" i="1"/>
  <c r="G48" i="1" s="1"/>
  <c r="F47" i="1"/>
  <c r="H47" i="1" s="1"/>
  <c r="E47" i="1"/>
  <c r="G47" i="1" s="1"/>
  <c r="C43" i="1"/>
  <c r="F42" i="1"/>
  <c r="H42" i="1" s="1"/>
  <c r="E42" i="1"/>
  <c r="G42" i="1" s="1"/>
  <c r="F41" i="1"/>
  <c r="E41" i="1"/>
  <c r="G41" i="1" s="1"/>
  <c r="F40" i="1"/>
  <c r="H40" i="1" s="1"/>
  <c r="F37" i="1"/>
  <c r="H37" i="1" s="1"/>
  <c r="C33" i="1"/>
  <c r="E31" i="1"/>
  <c r="G31" i="1" s="1"/>
  <c r="C26" i="1"/>
  <c r="E25" i="1"/>
  <c r="F24" i="1"/>
  <c r="E24" i="1"/>
  <c r="G24" i="1" s="1"/>
  <c r="H25" i="1"/>
  <c r="G25" i="1"/>
  <c r="H24" i="1"/>
  <c r="G23" i="1"/>
  <c r="F23" i="1"/>
  <c r="H23" i="1" s="1"/>
  <c r="C20" i="1"/>
  <c r="F19" i="1"/>
  <c r="H19" i="1" s="1"/>
  <c r="E19" i="1"/>
  <c r="G19" i="1" s="1"/>
  <c r="F17" i="1"/>
  <c r="H17" i="1" s="1"/>
  <c r="E17" i="1"/>
  <c r="G17" i="1" s="1"/>
  <c r="C11" i="1"/>
  <c r="F8" i="1"/>
  <c r="H8" i="1" s="1"/>
  <c r="E8" i="1"/>
  <c r="G8" i="1" s="1"/>
  <c r="H10" i="1"/>
  <c r="H14" i="1"/>
  <c r="H15" i="1"/>
  <c r="H16" i="1"/>
  <c r="H30" i="1"/>
  <c r="H31" i="1"/>
  <c r="H36" i="1"/>
  <c r="H38" i="1"/>
  <c r="H39" i="1"/>
  <c r="H41" i="1"/>
  <c r="H46" i="1"/>
  <c r="H50" i="1"/>
  <c r="H55" i="1"/>
  <c r="H56" i="1"/>
  <c r="H71" i="1"/>
  <c r="H88" i="1"/>
  <c r="G10" i="1"/>
  <c r="G14" i="1"/>
  <c r="G15" i="1"/>
  <c r="G16" i="1"/>
  <c r="G30" i="1"/>
  <c r="G36" i="1"/>
  <c r="G37" i="1"/>
  <c r="G38" i="1"/>
  <c r="G39" i="1"/>
  <c r="G40" i="1"/>
  <c r="G46" i="1"/>
  <c r="G50" i="1"/>
  <c r="G55" i="1"/>
  <c r="G56" i="1"/>
  <c r="G71" i="1"/>
  <c r="G88" i="1"/>
  <c r="F7" i="1"/>
  <c r="H7" i="1" s="1"/>
  <c r="E7" i="1"/>
  <c r="G7" i="1" s="1"/>
  <c r="F6" i="1"/>
  <c r="E6" i="1"/>
  <c r="H72" i="1" l="1"/>
  <c r="G72" i="1"/>
  <c r="H63" i="1"/>
  <c r="G63" i="1"/>
  <c r="G26" i="1"/>
  <c r="G58" i="1"/>
  <c r="H58" i="1"/>
  <c r="H43" i="1"/>
  <c r="G43" i="1"/>
  <c r="H51" i="1"/>
  <c r="E9" i="1"/>
  <c r="G51" i="1"/>
  <c r="G33" i="1"/>
  <c r="H33" i="1"/>
  <c r="C93" i="1"/>
  <c r="H26" i="1"/>
  <c r="F9" i="1"/>
  <c r="E18" i="1"/>
  <c r="H6" i="1"/>
  <c r="G20" i="1"/>
  <c r="H20" i="1"/>
  <c r="F18" i="1"/>
  <c r="H11" i="1"/>
  <c r="G6" i="1"/>
  <c r="G11" i="1" s="1"/>
</calcChain>
</file>

<file path=xl/sharedStrings.xml><?xml version="1.0" encoding="utf-8"?>
<sst xmlns="http://schemas.openxmlformats.org/spreadsheetml/2006/main" count="187" uniqueCount="161">
  <si>
    <t>Budgeted Amount</t>
  </si>
  <si>
    <t>Includes</t>
  </si>
  <si>
    <t>Page #</t>
  </si>
  <si>
    <t>MINISTRY OF HOME AFFAIRS, HEALTH AND CULTURE (HOME AFFAIRS)</t>
  </si>
  <si>
    <t>MINISTRY OF HOME AFFAIRS, HEALTH AND CULTURE (HEALTH AND CULTURE)</t>
  </si>
  <si>
    <t>MINISTRY OF DISTRICT ADMINISTRATION, TOURISM AND TRANSPORT</t>
  </si>
  <si>
    <t>MINISTRY OF PLANNING, LANDS, AGRICULTURE, HOUSING AND INFRASTRUCTURE</t>
  </si>
  <si>
    <t>MINISTRY OF COMMUNITY AFFAIRS, YOUTH AND SPORTS</t>
  </si>
  <si>
    <t>MINISTRY OF FINANCE AND ECONOMIC DEVELOPMENT</t>
  </si>
  <si>
    <t>MINISTRY OF FINANCIAL SERVICES, COMMERCE AND ENVIRONMENT</t>
  </si>
  <si>
    <t>MINISTRY OF EDUCATION, EMPLOYMENT AND GENDER AFFAIRS</t>
  </si>
  <si>
    <t xml:space="preserve">PORTFOLIO OF LEGAL AFFAIRS </t>
  </si>
  <si>
    <t>OFFICE OF THE DIRECTOR OF PUBLIC PROSECUTIONS</t>
  </si>
  <si>
    <t>OFFICE OF THE AUDITOR GENERAL</t>
  </si>
  <si>
    <t>JUDICIAL ADMINISTRATION</t>
  </si>
  <si>
    <t>OFFICE OF THE COMPLAINTS COMMISSIONER</t>
  </si>
  <si>
    <t>INFORMATION COMMISSIONER’S OFFICE</t>
  </si>
  <si>
    <t>CABINET OFFICE</t>
  </si>
  <si>
    <t xml:space="preserve">Policy Development Coordination and Advice  </t>
  </si>
  <si>
    <t>PORTFOLIO OF THE CIVIL SERVICE</t>
  </si>
  <si>
    <t>Description</t>
  </si>
  <si>
    <t xml:space="preserve">Research and development of policy proposals, actions or strategies for Cabinet, The Premier and the National Security . Council, and the coordination of policy development between Ministries/Portfolios and other Government Sector Agencies.  This output encompasses sustainable development policies, the organization and management of projects and initiatives in the national, regional or international interest. </t>
  </si>
  <si>
    <t xml:space="preserve">Number of hours of development coordination and advice </t>
  </si>
  <si>
    <t>Quantity - Min</t>
  </si>
  <si>
    <t>Quantity - Max</t>
  </si>
  <si>
    <t>Total Quantity of Outputs for 18 Mth period</t>
  </si>
  <si>
    <t>Cost Per Unit - Min</t>
  </si>
  <si>
    <t>Cost Per Unit - Max</t>
  </si>
  <si>
    <t xml:space="preserve">Coordinating and Monitoring of Policy Implementation  </t>
  </si>
  <si>
    <t>Note</t>
  </si>
  <si>
    <t>Not specifically</t>
  </si>
  <si>
    <t xml:space="preserve">Coordinating and monitoring the implementation of policy initiatives by Ministries and Portfolios and public agencies to avoid the duplication of activity and promote synergy in areas of common responsibility. </t>
  </si>
  <si>
    <t xml:space="preserve">Number of hours spent coordinating and monitoring policy implementation </t>
  </si>
  <si>
    <t xml:space="preserve">Advice and Assistance to the Premier and Administration of the Premier’s Office </t>
  </si>
  <si>
    <t xml:space="preserve">Provision of advice and assistance to the Premier and administration of the Premier's Office. </t>
  </si>
  <si>
    <t xml:space="preserve">Number of hours of advice and administrative support provided  </t>
  </si>
  <si>
    <t xml:space="preserve">Policy Advice and Monthly Reporting </t>
  </si>
  <si>
    <t xml:space="preserve">Provision of advice and information to the Cayman Islands Government on events, policies and other developments in the United Kingdom and Europe.  Production of monthly, quarterly and annual reports of activities. </t>
  </si>
  <si>
    <t>Number or monthly, quarterly and annual reports or briefing papers produced</t>
  </si>
  <si>
    <t>TOTALS</t>
  </si>
  <si>
    <t>Total Hrs</t>
  </si>
  <si>
    <t xml:space="preserve">Public Education and Policy Advice </t>
  </si>
  <si>
    <t xml:space="preserve">Provision of information, education and advice on rehabilitative services aimed at crime reduction in the Cayman Islands. </t>
  </si>
  <si>
    <t xml:space="preserve">Number of public awareness presentations/projects | Number of interdepartmental meetings for strategic advice offered </t>
  </si>
  <si>
    <t>Qty is two line items combined</t>
  </si>
  <si>
    <t xml:space="preserve">Policy Advice on Immigration Matters </t>
  </si>
  <si>
    <t xml:space="preserve">Number of reports submitted  </t>
  </si>
  <si>
    <t xml:space="preserve">Policy Advice to Minister </t>
  </si>
  <si>
    <t xml:space="preserve">Policy advice to Minister on policing, immigration, public administration and other matters. </t>
  </si>
  <si>
    <t xml:space="preserve">Number of hours spent on providing policy advice  </t>
  </si>
  <si>
    <t>Thoughts:</t>
  </si>
  <si>
    <t>Did PPM find surplus funds or simply over budgeted?</t>
  </si>
  <si>
    <t xml:space="preserve">Policy Advice and Ministerial Servicing </t>
  </si>
  <si>
    <t xml:space="preserve">To formulate and present policy advice and proposals to the Ministry of Home Affairs, Ministers and Cabinet on all aspects of immigration policy.  Subject matter may include: Provision of statistics relating to work permits, permanent residence, visitors, visas, offences committed under the Immigration Law ; Policy proposals relating to migration management, prohibited immigrants, deportees, implementation of new nitiatives such as the Immigration Accreditation System, Work Permit Administrator System, asylum, Cuban migrants, pre-clearance by US Immigration/Customs authorities; Participation in the Cabinet appointed Review Team </t>
  </si>
  <si>
    <t xml:space="preserve">Provide policy advice to the Ministers, Deputy Governor, Chief Officers, Government Departments and others on matters relating to national hazard management and disaster preparedness. Provision of technical advice to the Ministry and Government agencies and the private sector on telecommunication matters. </t>
  </si>
  <si>
    <t xml:space="preserve">Hours of advice on hazard management | Hours of advice on telecommunication matters  </t>
  </si>
  <si>
    <t xml:space="preserve">Policy Advice on Policing and Security Matters </t>
  </si>
  <si>
    <t xml:space="preserve">Provide policy and security advice to Her Excellency the Governor, Deputy Governor, Cabinet, National Security Council and the Anti-Corruption Commission as well as non-Government entities. </t>
  </si>
  <si>
    <t xml:space="preserve">Number of oral briefings, policy advice papers and reports | Number of statistical reports provided  </t>
  </si>
  <si>
    <t xml:space="preserve">Honourable Alden McLaughlin, MBE, JP </t>
  </si>
  <si>
    <t>Premier</t>
  </si>
  <si>
    <t xml:space="preserve">Policy Advice to the Minister of Health and Culture </t>
  </si>
  <si>
    <t>Conduct research and a review of services to provide policy advice to the Minister of Health and Culture and Cabinet on the following: Health, Environment and Culture</t>
  </si>
  <si>
    <t xml:space="preserve">Number of hours of policy advice </t>
  </si>
  <si>
    <t xml:space="preserve">Ministerial Servicing to the Minister of Home Affairs, Health and Culture </t>
  </si>
  <si>
    <t xml:space="preserve">Provide support services and policy advice by means of reports, briefing notes, speeches and replies to Parliamentary questions and correspondence to the Minister and Cabinet on Boards and Committees. </t>
  </si>
  <si>
    <t>Number of replies to parliamentary questions | correspondence, speeches and briefing notes, boards and committees served, meetings and hearings attended, capacity planning reports, monthly, qrtly and annual reports.</t>
  </si>
  <si>
    <t>Why does the 6 mth period include the same number of outputs as the 12 month period but the cost is about half?</t>
  </si>
  <si>
    <t xml:space="preserve">Policy Advice and Reports to the HIC Board and Ministry </t>
  </si>
  <si>
    <t xml:space="preserve">Contributions to cabinet papers | Production of papers, reports, statements and responses to questions and replies to correspondence | Review and research legislation  </t>
  </si>
  <si>
    <t xml:space="preserve">Number of contributions to cabinet papers, papers, reports, speeches, statements, responses to questions and replies to corres, minutes produced, recommendations aimed to amend legislation </t>
  </si>
  <si>
    <t xml:space="preserve">Honourable Moses Kirkconnell, MBE, JP </t>
  </si>
  <si>
    <t>Total (Home Affairs + Health and Culture)</t>
  </si>
  <si>
    <t xml:space="preserve">Policy Advice </t>
  </si>
  <si>
    <t xml:space="preserve">The provision of policy and strategic advice to the Minister of District Administration, Tourism and Transport and the Cabinet on the Ministry’s Departments, Government Owned Companies, Boards, Committees and Statutory Authorities through the following means: Production of cabinet papers and notes, Briefing sessions/ notes, Production of policy reports.   </t>
  </si>
  <si>
    <t>Number of cabinet papers and notes sent to Cabinet , minister's briefing notes, policy advice reports, gov motions and reports, briefing sessions.</t>
  </si>
  <si>
    <t xml:space="preserve">Policy Advice on Cayman Brac and Little Cayman Matters </t>
  </si>
  <si>
    <t xml:space="preserve">Provision of information and policy advice to Cabinet, Legislative Assembly, Portfolios and other Departments on matters relating to the Sister Islands. </t>
  </si>
  <si>
    <t xml:space="preserve">Number of parliamentary questions/ministry papers answered and prepared | Number of meetings held/attended  </t>
  </si>
  <si>
    <t>???</t>
  </si>
  <si>
    <t xml:space="preserve">Technical Advice and Oversight of Boards and Committees </t>
  </si>
  <si>
    <t>See pg 286</t>
  </si>
  <si>
    <t xml:space="preserve">Ministerial Servicing and Policy Advice to the Minister of Planning, Lands, Agriculture, Housing and Infrastructure </t>
  </si>
  <si>
    <t xml:space="preserve">rovision of ministerial services and policy advice to Minister on planning, lands, agriculture, housing, infrastructure and other... </t>
  </si>
  <si>
    <t xml:space="preserve">Number of hours spent providing policy advice and ministerial services </t>
  </si>
  <si>
    <t xml:space="preserve">Policy Advice on Matters Relating to the Agricultural Sector </t>
  </si>
  <si>
    <t xml:space="preserve">Policy advice and administrative support to the Ministry on scientific, technical and strategic matters relating to the Agricultural Sector involving: Preparation of draft policy statements and instructions for revision of laws, Planning and direction for the development of the Agricultural Sector, Answers to Parliamentary questions, Replies to correspondence and other requests for information.    </t>
  </si>
  <si>
    <t xml:space="preserve">Policy and Technical Advice to the Minister on Fleet Related Matters </t>
  </si>
  <si>
    <t xml:space="preserve">Technical advice and guidance on maintenance practices and procedures Advice on the most efficient fleet management practices, policies and procedures to ensure an effective disposal and replacement plan for the fleet, Fleet costs and activity reports   </t>
  </si>
  <si>
    <t xml:space="preserve">The number of reports, advice, discussions and recommendations relating </t>
  </si>
  <si>
    <t>reports etc</t>
  </si>
  <si>
    <t xml:space="preserve">Technical Advice on Land and Survey Matters   </t>
  </si>
  <si>
    <t xml:space="preserve">The provision of advice and information in respect of the various laws administered by Lands and Survey Department... </t>
  </si>
  <si>
    <t>equiries and notarizations etc</t>
  </si>
  <si>
    <t xml:space="preserve">Policy Advice to the Ministry </t>
  </si>
  <si>
    <t xml:space="preserve">Hours spent on briefings, papers and reports </t>
  </si>
  <si>
    <t xml:space="preserve">Provide advice to the Minister of Planning Land, Agriculture, Housing and Infrastructure and the Central Planning Authority on policy issues related to planning and development throughout the three islands. </t>
  </si>
  <si>
    <t xml:space="preserve">Policy Advice on Government Facilities and Related Matters </t>
  </si>
  <si>
    <t xml:space="preserve">Policy advice and services on government facilities and related matters to support the Minister of Planning, Lands,  Agriculture,... </t>
  </si>
  <si>
    <t xml:space="preserve">Honourable Kurt Tibbetts, OBE, JP </t>
  </si>
  <si>
    <t xml:space="preserve">Policy advice provided to the Minister and Ministry of Planning, Lands, Agriculture, Housing and Infrastructure on all matters relating to vehicle and drivers’ licensing. </t>
  </si>
  <si>
    <t xml:space="preserve">Honourable Osbourne Bodden, JP </t>
  </si>
  <si>
    <t xml:space="preserve">Policy Advice on Matters Relating to Social Services </t>
  </si>
  <si>
    <t>Provide policy advice to the Minister of Community Affairs, Youth and Sports on matters relating to Social Services including…</t>
  </si>
  <si>
    <t># of meetings, papers prepared, parliamentary questions etc</t>
  </si>
  <si>
    <t xml:space="preserve">Policy Advice to the Minister of Community Affairs, Youth and Sports </t>
  </si>
  <si>
    <t xml:space="preserve">Policy advice on matters pertaining to the provision of treatment services and therapeutic interventions, including responses to parliamentary questions, cabinet papers and speaking notes. </t>
  </si>
  <si>
    <t xml:space="preserve">The provision of policy and strategic advice to the Minister of Community Affairs, Youth and Sports (CAY&amp;S) and the Cabinet on the Ministry’s Departments, Units, Government Owned Companies, Boards and Committees through the following means:... </t>
  </si>
  <si>
    <t>cabinet papers, briefing sessions, proposals etc</t>
  </si>
  <si>
    <t xml:space="preserve">Policy Advice on Matters Relating to Needs Assessments </t>
  </si>
  <si>
    <t xml:space="preserve">Provide policy advice to the Minister of Community Affairs, Youth and Sports on matters relating to welfare services </t>
  </si>
  <si>
    <t>meetings, policy papers, bills, notes etc</t>
  </si>
  <si>
    <t xml:space="preserve">Technical Advice and Support to Ministry and other Sporting Agencies </t>
  </si>
  <si>
    <t xml:space="preserve">To provide professional advice and technical support to the Ministry and sporting associations with particular focus on the core ports of - Basketball, Cricket, Football, Netball, Track and Field, and Swimming.    </t>
  </si>
  <si>
    <t>requests</t>
  </si>
  <si>
    <t>Honourable Marco Archer, JP</t>
  </si>
  <si>
    <t xml:space="preserve">Policy Advice and Ministerial Services on Customs Matters </t>
  </si>
  <si>
    <t xml:space="preserve">Provision of policy advice and ministerial services on issues falling within the scope of activities of the Customs Department ... </t>
  </si>
  <si>
    <t xml:space="preserve">Number of hours providing policy advice and ministerial services </t>
  </si>
  <si>
    <t xml:space="preserve">Policy and Technical Advice on Statistical Matters and Economic Issues </t>
  </si>
  <si>
    <t>Provision of policy and technical advice to the Financial Secretary, Cabinet and other government agencies on: …</t>
  </si>
  <si>
    <t>economic outlook updates, macroeconomic forecasts, tech assistance</t>
  </si>
  <si>
    <t xml:space="preserve">Provision of policy advice and ministerial services on issues falling within the scope of activities of the Finance Administration... </t>
  </si>
  <si>
    <t xml:space="preserve">Hours spent providing policy advice and ministerial services </t>
  </si>
  <si>
    <t xml:space="preserve">Policy Advice on Financial Management </t>
  </si>
  <si>
    <t>Provision of policy advice to the Minister of Finance and Economic Development on issues relating to: …</t>
  </si>
  <si>
    <t># of briefings, policy papers, cabinet papers etc</t>
  </si>
  <si>
    <t>SUBTOTAL</t>
  </si>
  <si>
    <t xml:space="preserve">Honourable Wayne Panton, JP </t>
  </si>
  <si>
    <t xml:space="preserve">Policy Advice and Legislation relating to Financial Services, Local Commerce, and the Protection of the Environment </t>
  </si>
  <si>
    <t xml:space="preserve">To provide support to the Minister in the execution of his duties and develop and maintain a world class framework for the provision of financial services, entrepreneurial business activity and the protection of the natural environment and resources. ... </t>
  </si>
  <si>
    <t>legislative items, cabinet papers, questions, statements drafted etc.</t>
  </si>
  <si>
    <t>not specifically</t>
  </si>
  <si>
    <t xml:space="preserve">Policy Development and Implementation </t>
  </si>
  <si>
    <t xml:space="preserve">To develop and maintain world-class framework for the protection of the natural environment and resources. </t>
  </si>
  <si>
    <t>cabinet papers, leg items, Pos response etc</t>
  </si>
  <si>
    <t xml:space="preserve">Honourable Tara Rivers, JP </t>
  </si>
  <si>
    <t xml:space="preserve">Policy Advice, Development and Implementation </t>
  </si>
  <si>
    <t xml:space="preserve">Provision of policy advice and support services to the Minister in the areas of Education, Employment and Gender Affairs, in... </t>
  </si>
  <si>
    <t>briefs, notes, questions, etc</t>
  </si>
  <si>
    <t xml:space="preserve">Honourable Franz Manderson, Cert Hon, JP </t>
  </si>
  <si>
    <t xml:space="preserve">Policy advice to the Head of the Civil Service and the Governor relating to civil service matters including: </t>
  </si>
  <si>
    <t>No details in item header</t>
  </si>
  <si>
    <t xml:space="preserve">Number of hours of policy advice provided  </t>
  </si>
  <si>
    <t xml:space="preserve">Policy Advice and Administrative Support Provided to the Deputy Governor </t>
  </si>
  <si>
    <t xml:space="preserve">Policy advice to the Deputy Governor on public administration and other matters... </t>
  </si>
  <si>
    <t xml:space="preserve">hrs, applications, </t>
  </si>
  <si>
    <t>Breakdown of all Items that include or entail policy advice to individual Government Ministers , Cabinet and/or other senior Government officers</t>
  </si>
  <si>
    <t xml:space="preserve">Ministerial Servicing and Policy Advice for the Attorney General </t>
  </si>
  <si>
    <t xml:space="preserve">Provision of Ministerial Services to support the Attorney General including secretarial administrative, law revision and policy advice Provision of AML/CFT Policy Advice to the Attorney General </t>
  </si>
  <si>
    <t>Number of hours providing secretarial and administrative support and policy advice</t>
  </si>
  <si>
    <t>Honourable Samuel Bulgin, QC, JP</t>
  </si>
  <si>
    <t>None</t>
  </si>
  <si>
    <t>Honourable Justice Anthony Smellie, QC</t>
  </si>
  <si>
    <t xml:space="preserve">Chief Justice of the Cayman Islands </t>
  </si>
  <si>
    <t xml:space="preserve">Mr. Ezzard Miller, JP </t>
  </si>
  <si>
    <t>Chairman of the Pubic Accounts Committee</t>
  </si>
  <si>
    <t xml:space="preserve">Chairman of the Oversight Committee </t>
  </si>
  <si>
    <t xml:space="preserve">Provision of policy advice on matters with the scope of activities of the Office of the Complaints Commissioner. </t>
  </si>
  <si>
    <t>meetings, statistical info, etc</t>
  </si>
  <si>
    <t xml:space="preserve">Mr. Jan Liebaers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</si>
</sst>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Red]\-&quot;$&quot;#,##0"/>
    <numFmt numFmtId="165" formatCode="&quot;$&quot;#,##0.00;[Red]\-&quot;$&quot;#,##0.00"/>
    <numFmt numFmtId="166" formatCode="_-* #,##0.00_-;\-* #,##0.00_-;_-* &quot;-&quot;??_-;_-@_-"/>
  </numFmts>
  <fonts count="9" x14ac:knownFonts="1">
    <font>
      <sz val="11"/>
      <color theme="1"/>
      <name val="Calibri"/>
      <family val="2"/>
      <scheme val="minor"/>
    </font>
    <font>
      <sz val="11"/>
      <color theme="1"/>
      <name val="Calibri"/>
      <family val="2"/>
      <scheme val="minor"/>
    </font>
    <font>
      <sz val="8"/>
      <color theme="1"/>
      <name val="Calibri"/>
      <family val="2"/>
      <scheme val="minor"/>
    </font>
    <font>
      <sz val="8"/>
      <color theme="0"/>
      <name val="Calibri"/>
      <family val="2"/>
      <scheme val="minor"/>
    </font>
    <font>
      <sz val="8"/>
      <name val="Calibri"/>
      <family val="2"/>
      <scheme val="minor"/>
    </font>
    <font>
      <b/>
      <sz val="8"/>
      <name val="Calibri"/>
      <family val="2"/>
      <scheme val="minor"/>
    </font>
    <font>
      <b/>
      <sz val="10"/>
      <name val="Calibri"/>
      <family val="2"/>
      <scheme val="minor"/>
    </font>
    <font>
      <b/>
      <sz val="9"/>
      <name val="Calibri"/>
      <family val="2"/>
      <scheme val="minor"/>
    </font>
    <font>
      <b/>
      <u val="double"/>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166" fontId="1" fillId="0" borderId="0" applyFont="0" applyFill="0" applyBorder="0" applyAlignment="0" applyProtection="0"/>
  </cellStyleXfs>
  <cellXfs count="40">
    <xf numFmtId="0" fontId="0" fillId="0" borderId="0" xfId="0"/>
    <xf numFmtId="0" fontId="2" fillId="0" borderId="0" xfId="0" applyFont="1" applyAlignment="1">
      <alignment wrapText="1"/>
    </xf>
    <xf numFmtId="0" fontId="2" fillId="0" borderId="0" xfId="0" applyFont="1"/>
    <xf numFmtId="0" fontId="3" fillId="0" borderId="0" xfId="0" applyFont="1"/>
    <xf numFmtId="0" fontId="4" fillId="0" borderId="0" xfId="0" applyFont="1" applyFill="1" applyAlignment="1">
      <alignment wrapText="1"/>
    </xf>
    <xf numFmtId="0" fontId="4" fillId="0" borderId="0" xfId="0" applyFont="1" applyFill="1"/>
    <xf numFmtId="0" fontId="4" fillId="0" borderId="0" xfId="0" applyFont="1"/>
    <xf numFmtId="0" fontId="4" fillId="0" borderId="0" xfId="0" applyFont="1" applyAlignment="1">
      <alignment horizontal="center" wrapText="1"/>
    </xf>
    <xf numFmtId="0" fontId="4" fillId="0" borderId="1" xfId="0" applyFont="1" applyFill="1" applyBorder="1" applyAlignment="1">
      <alignment wrapText="1"/>
    </xf>
    <xf numFmtId="0" fontId="5" fillId="0" borderId="1" xfId="0" applyFont="1" applyFill="1" applyBorder="1" applyAlignment="1">
      <alignment horizontal="center"/>
    </xf>
    <xf numFmtId="0" fontId="5" fillId="0" borderId="1" xfId="0" applyFont="1" applyBorder="1" applyAlignment="1">
      <alignment horizontal="center"/>
    </xf>
    <xf numFmtId="0" fontId="5" fillId="0" borderId="0" xfId="0" applyFont="1" applyFill="1" applyAlignment="1">
      <alignment wrapText="1"/>
    </xf>
    <xf numFmtId="164" fontId="4" fillId="0" borderId="0" xfId="0" applyNumberFormat="1" applyFont="1" applyFill="1"/>
    <xf numFmtId="165" fontId="4" fillId="0" borderId="0" xfId="0" applyNumberFormat="1" applyFont="1"/>
    <xf numFmtId="0" fontId="4" fillId="0" borderId="1" xfId="0" applyFont="1" applyFill="1" applyBorder="1"/>
    <xf numFmtId="0" fontId="4" fillId="0" borderId="1" xfId="0" applyFont="1" applyBorder="1"/>
    <xf numFmtId="166" fontId="4" fillId="0" borderId="0" xfId="1" applyFont="1"/>
    <xf numFmtId="0" fontId="5" fillId="0" borderId="0" xfId="0" applyFont="1" applyFill="1"/>
    <xf numFmtId="0" fontId="5" fillId="0" borderId="0" xfId="0" applyFont="1"/>
    <xf numFmtId="164" fontId="4" fillId="0" borderId="1" xfId="0" applyNumberFormat="1" applyFont="1" applyFill="1" applyBorder="1"/>
    <xf numFmtId="165" fontId="4" fillId="0" borderId="1" xfId="0" applyNumberFormat="1" applyFont="1" applyBorder="1"/>
    <xf numFmtId="0" fontId="7" fillId="0" borderId="0" xfId="0" applyFont="1" applyFill="1" applyAlignment="1">
      <alignment wrapText="1"/>
    </xf>
    <xf numFmtId="0" fontId="7" fillId="0" borderId="0" xfId="0" applyFont="1" applyFill="1"/>
    <xf numFmtId="0" fontId="4" fillId="0" borderId="0" xfId="0" applyFont="1" applyFill="1" applyBorder="1" applyAlignment="1">
      <alignment wrapText="1"/>
    </xf>
    <xf numFmtId="0" fontId="4" fillId="0" borderId="0" xfId="0" applyFont="1" applyFill="1" applyBorder="1"/>
    <xf numFmtId="164" fontId="4" fillId="0" borderId="0" xfId="0" applyNumberFormat="1" applyFont="1" applyFill="1" applyBorder="1"/>
    <xf numFmtId="0" fontId="4" fillId="0" borderId="0" xfId="0" applyFont="1" applyBorder="1"/>
    <xf numFmtId="165" fontId="4" fillId="0" borderId="0" xfId="0" applyNumberFormat="1" applyFont="1" applyBorder="1"/>
    <xf numFmtId="3" fontId="4" fillId="0" borderId="0" xfId="0" applyNumberFormat="1" applyFont="1" applyFill="1"/>
    <xf numFmtId="0" fontId="4" fillId="0" borderId="0" xfId="0" applyFont="1" applyFill="1" applyBorder="1" applyAlignment="1"/>
    <xf numFmtId="0" fontId="4" fillId="0" borderId="1" xfId="0" applyFont="1" applyFill="1" applyBorder="1" applyAlignment="1"/>
    <xf numFmtId="0" fontId="5" fillId="0" borderId="0" xfId="0" applyFont="1" applyAlignment="1">
      <alignment wrapText="1"/>
    </xf>
    <xf numFmtId="0" fontId="4" fillId="0" borderId="0" xfId="0" applyFont="1" applyAlignment="1">
      <alignment wrapText="1"/>
    </xf>
    <xf numFmtId="0" fontId="8" fillId="0" borderId="0" xfId="0" applyFont="1" applyAlignment="1">
      <alignment wrapText="1"/>
    </xf>
    <xf numFmtId="0" fontId="8" fillId="0" borderId="0" xfId="0" applyFont="1"/>
    <xf numFmtId="164" fontId="6" fillId="3" borderId="0" xfId="0" applyNumberFormat="1" applyFont="1" applyFill="1"/>
    <xf numFmtId="164" fontId="4" fillId="3" borderId="0" xfId="0" applyNumberFormat="1" applyFont="1" applyFill="1"/>
    <xf numFmtId="164" fontId="8" fillId="3" borderId="0" xfId="0" applyNumberFormat="1" applyFont="1" applyFill="1"/>
    <xf numFmtId="0" fontId="4" fillId="2" borderId="0" xfId="0" applyFont="1" applyFill="1"/>
    <xf numFmtId="0" fontId="4"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workbookViewId="0">
      <selection activeCell="C29" sqref="C29"/>
    </sheetView>
  </sheetViews>
  <sheetFormatPr defaultColWidth="9.109375" defaultRowHeight="10.199999999999999" x14ac:dyDescent="0.2"/>
  <cols>
    <col min="1" max="1" width="32.109375" style="1" customWidth="1"/>
    <col min="2" max="6" width="12.6640625" style="2" customWidth="1"/>
    <col min="7" max="7" width="14" style="2" customWidth="1"/>
    <col min="8" max="8" width="13.6640625" style="2" customWidth="1"/>
    <col min="9" max="16384" width="9.109375" style="2"/>
  </cols>
  <sheetData>
    <row r="1" spans="1:11" x14ac:dyDescent="0.2">
      <c r="A1" s="4"/>
      <c r="B1" s="5"/>
      <c r="C1" s="5"/>
      <c r="D1" s="5"/>
      <c r="E1" s="6"/>
      <c r="F1" s="6"/>
      <c r="G1" s="6"/>
      <c r="H1" s="6"/>
      <c r="I1" s="6"/>
      <c r="J1" s="3"/>
    </row>
    <row r="2" spans="1:11" ht="30.6" x14ac:dyDescent="0.2">
      <c r="A2" s="4" t="s">
        <v>147</v>
      </c>
      <c r="B2" s="5"/>
      <c r="C2" s="5"/>
      <c r="D2" s="5"/>
      <c r="E2" s="6"/>
      <c r="F2" s="6"/>
      <c r="G2" s="6"/>
      <c r="H2" s="6"/>
      <c r="I2" s="6"/>
      <c r="J2" s="3"/>
    </row>
    <row r="3" spans="1:11" ht="23.25" customHeight="1" x14ac:dyDescent="0.2">
      <c r="A3" s="4"/>
      <c r="B3" s="5"/>
      <c r="C3" s="5"/>
      <c r="D3" s="5"/>
      <c r="E3" s="39" t="s">
        <v>25</v>
      </c>
      <c r="F3" s="39"/>
      <c r="G3" s="7"/>
      <c r="H3" s="7"/>
      <c r="I3" s="6"/>
      <c r="J3" s="6"/>
      <c r="K3" s="6"/>
    </row>
    <row r="4" spans="1:11" x14ac:dyDescent="0.2">
      <c r="A4" s="8"/>
      <c r="B4" s="9" t="s">
        <v>20</v>
      </c>
      <c r="C4" s="9" t="s">
        <v>0</v>
      </c>
      <c r="D4" s="9" t="s">
        <v>1</v>
      </c>
      <c r="E4" s="10" t="s">
        <v>23</v>
      </c>
      <c r="F4" s="10" t="s">
        <v>24</v>
      </c>
      <c r="G4" s="10" t="s">
        <v>26</v>
      </c>
      <c r="H4" s="10" t="s">
        <v>27</v>
      </c>
      <c r="I4" s="10" t="s">
        <v>2</v>
      </c>
      <c r="J4" s="6" t="s">
        <v>29</v>
      </c>
      <c r="K4" s="6"/>
    </row>
    <row r="5" spans="1:11" x14ac:dyDescent="0.2">
      <c r="A5" s="11" t="s">
        <v>17</v>
      </c>
      <c r="B5" s="5"/>
      <c r="C5" s="5"/>
      <c r="D5" s="5"/>
      <c r="E5" s="6"/>
      <c r="F5" s="6"/>
      <c r="G5" s="6"/>
      <c r="H5" s="6"/>
      <c r="I5" s="6">
        <v>11</v>
      </c>
      <c r="J5" s="6"/>
      <c r="K5" s="6"/>
    </row>
    <row r="6" spans="1:11" x14ac:dyDescent="0.2">
      <c r="A6" s="4" t="s">
        <v>18</v>
      </c>
      <c r="B6" s="5" t="s">
        <v>21</v>
      </c>
      <c r="C6" s="12">
        <v>1105898</v>
      </c>
      <c r="D6" s="5" t="s">
        <v>22</v>
      </c>
      <c r="E6" s="6">
        <f>2950+5900</f>
        <v>8850</v>
      </c>
      <c r="F6" s="6">
        <f>3200+6400</f>
        <v>9600</v>
      </c>
      <c r="G6" s="13">
        <f>C6/E6</f>
        <v>124.96022598870057</v>
      </c>
      <c r="H6" s="13">
        <f>C6/F6</f>
        <v>115.19770833333334</v>
      </c>
      <c r="I6" s="6">
        <v>33</v>
      </c>
      <c r="J6" s="6"/>
      <c r="K6" s="6"/>
    </row>
    <row r="7" spans="1:11" ht="11.25" customHeight="1" x14ac:dyDescent="0.2">
      <c r="A7" s="4" t="s">
        <v>28</v>
      </c>
      <c r="B7" s="5" t="s">
        <v>31</v>
      </c>
      <c r="C7" s="12">
        <v>798269</v>
      </c>
      <c r="D7" s="5" t="s">
        <v>32</v>
      </c>
      <c r="E7" s="6">
        <f>350+700</f>
        <v>1050</v>
      </c>
      <c r="F7" s="6">
        <f>400+800</f>
        <v>1200</v>
      </c>
      <c r="G7" s="13">
        <f t="shared" ref="G7:G62" si="0">C7/E7</f>
        <v>760.25619047619045</v>
      </c>
      <c r="H7" s="13">
        <f t="shared" ref="H7:H62" si="1">C7/F7</f>
        <v>665.22416666666663</v>
      </c>
      <c r="I7" s="6">
        <v>34</v>
      </c>
      <c r="J7" s="6" t="s">
        <v>30</v>
      </c>
      <c r="K7" s="6"/>
    </row>
    <row r="8" spans="1:11" ht="11.25" customHeight="1" x14ac:dyDescent="0.2">
      <c r="A8" s="4" t="s">
        <v>33</v>
      </c>
      <c r="B8" s="5" t="s">
        <v>34</v>
      </c>
      <c r="C8" s="12">
        <v>1399579</v>
      </c>
      <c r="D8" s="14" t="s">
        <v>35</v>
      </c>
      <c r="E8" s="15">
        <f>2400+4800</f>
        <v>7200</v>
      </c>
      <c r="F8" s="15">
        <f>2500+5000</f>
        <v>7500</v>
      </c>
      <c r="G8" s="16">
        <f>C8/E8</f>
        <v>194.38597222222222</v>
      </c>
      <c r="H8" s="13">
        <f t="shared" si="1"/>
        <v>186.61053333333334</v>
      </c>
      <c r="I8" s="6">
        <v>45</v>
      </c>
      <c r="J8" s="6"/>
      <c r="K8" s="6"/>
    </row>
    <row r="9" spans="1:11" ht="11.25" customHeight="1" x14ac:dyDescent="0.2">
      <c r="A9" s="4"/>
      <c r="B9" s="5"/>
      <c r="C9" s="12"/>
      <c r="D9" s="17" t="s">
        <v>40</v>
      </c>
      <c r="E9" s="18">
        <f>SUM(E6:E8)</f>
        <v>17100</v>
      </c>
      <c r="F9" s="18">
        <f>SUM(F6:F8)</f>
        <v>18300</v>
      </c>
      <c r="G9" s="16"/>
      <c r="H9" s="13"/>
      <c r="I9" s="6"/>
      <c r="J9" s="6"/>
      <c r="K9" s="6"/>
    </row>
    <row r="10" spans="1:11" x14ac:dyDescent="0.2">
      <c r="A10" s="8" t="s">
        <v>36</v>
      </c>
      <c r="B10" s="14" t="s">
        <v>37</v>
      </c>
      <c r="C10" s="19">
        <v>365250</v>
      </c>
      <c r="D10" s="14" t="s">
        <v>38</v>
      </c>
      <c r="E10" s="15">
        <v>30</v>
      </c>
      <c r="F10" s="15">
        <v>60</v>
      </c>
      <c r="G10" s="20">
        <f t="shared" si="0"/>
        <v>12175</v>
      </c>
      <c r="H10" s="20">
        <f t="shared" si="1"/>
        <v>6087.5</v>
      </c>
      <c r="I10" s="15"/>
      <c r="J10" s="6"/>
      <c r="K10" s="6"/>
    </row>
    <row r="11" spans="1:11" ht="13.8" x14ac:dyDescent="0.3">
      <c r="A11" s="11" t="s">
        <v>39</v>
      </c>
      <c r="B11" s="5"/>
      <c r="C11" s="35">
        <f>SUM(C6:C10)</f>
        <v>3668996</v>
      </c>
      <c r="D11" s="5"/>
      <c r="E11" s="6"/>
      <c r="F11" s="6"/>
      <c r="G11" s="13">
        <f>SUM(G6:G10)</f>
        <v>13254.602388687113</v>
      </c>
      <c r="H11" s="13">
        <f>SUM(H6:H10)</f>
        <v>7054.5324083333335</v>
      </c>
      <c r="I11" s="6"/>
      <c r="J11" s="6"/>
      <c r="K11" s="6"/>
    </row>
    <row r="12" spans="1:11" x14ac:dyDescent="0.2">
      <c r="A12" s="4"/>
      <c r="B12" s="5"/>
      <c r="C12" s="5"/>
      <c r="D12" s="5"/>
      <c r="E12" s="6"/>
      <c r="F12" s="6"/>
      <c r="G12" s="13"/>
      <c r="H12" s="13"/>
      <c r="I12" s="6"/>
      <c r="J12" s="6"/>
      <c r="K12" s="6"/>
    </row>
    <row r="13" spans="1:11" ht="20.399999999999999" x14ac:dyDescent="0.2">
      <c r="A13" s="11" t="s">
        <v>3</v>
      </c>
      <c r="B13" s="17" t="s">
        <v>59</v>
      </c>
      <c r="C13" s="17"/>
      <c r="D13" s="17"/>
      <c r="E13" s="18" t="s">
        <v>60</v>
      </c>
      <c r="F13" s="6"/>
      <c r="G13" s="13"/>
      <c r="H13" s="13"/>
      <c r="I13" s="6">
        <v>73</v>
      </c>
      <c r="J13" s="6"/>
      <c r="K13" s="6"/>
    </row>
    <row r="14" spans="1:11" x14ac:dyDescent="0.2">
      <c r="A14" s="4" t="s">
        <v>41</v>
      </c>
      <c r="B14" s="5" t="s">
        <v>42</v>
      </c>
      <c r="C14" s="12">
        <v>423399</v>
      </c>
      <c r="D14" s="5" t="s">
        <v>43</v>
      </c>
      <c r="E14" s="6">
        <v>40</v>
      </c>
      <c r="F14" s="6">
        <v>50</v>
      </c>
      <c r="G14" s="13">
        <f t="shared" si="0"/>
        <v>10584.975</v>
      </c>
      <c r="H14" s="13">
        <f t="shared" si="1"/>
        <v>8467.98</v>
      </c>
      <c r="I14" s="6">
        <v>93</v>
      </c>
      <c r="J14" s="6" t="s">
        <v>44</v>
      </c>
      <c r="K14" s="6"/>
    </row>
    <row r="15" spans="1:11" x14ac:dyDescent="0.2">
      <c r="A15" s="4" t="s">
        <v>45</v>
      </c>
      <c r="B15" s="5" t="s">
        <v>53</v>
      </c>
      <c r="C15" s="12">
        <v>499963</v>
      </c>
      <c r="D15" s="5" t="s">
        <v>46</v>
      </c>
      <c r="E15" s="6">
        <v>13</v>
      </c>
      <c r="F15" s="6">
        <v>31</v>
      </c>
      <c r="G15" s="13">
        <f t="shared" si="0"/>
        <v>38458.692307692305</v>
      </c>
      <c r="H15" s="13">
        <f t="shared" si="1"/>
        <v>16127.838709677419</v>
      </c>
      <c r="I15" s="6">
        <v>103</v>
      </c>
      <c r="J15" s="6"/>
      <c r="K15" s="6"/>
    </row>
    <row r="16" spans="1:11" x14ac:dyDescent="0.2">
      <c r="A16" s="4" t="s">
        <v>47</v>
      </c>
      <c r="B16" s="5" t="s">
        <v>48</v>
      </c>
      <c r="C16" s="12">
        <v>3540552</v>
      </c>
      <c r="D16" s="5" t="s">
        <v>49</v>
      </c>
      <c r="E16" s="6">
        <v>9000</v>
      </c>
      <c r="F16" s="6">
        <v>10500</v>
      </c>
      <c r="G16" s="13">
        <f t="shared" si="0"/>
        <v>393.39466666666669</v>
      </c>
      <c r="H16" s="13">
        <f t="shared" si="1"/>
        <v>337.19542857142858</v>
      </c>
      <c r="I16" s="6">
        <v>114</v>
      </c>
      <c r="J16" s="6" t="s">
        <v>44</v>
      </c>
      <c r="K16" s="6"/>
    </row>
    <row r="17" spans="1:11" x14ac:dyDescent="0.2">
      <c r="A17" s="4" t="s">
        <v>52</v>
      </c>
      <c r="B17" s="5" t="s">
        <v>54</v>
      </c>
      <c r="C17" s="12">
        <v>276696</v>
      </c>
      <c r="D17" s="14" t="s">
        <v>55</v>
      </c>
      <c r="E17" s="15">
        <f>350+760</f>
        <v>1110</v>
      </c>
      <c r="F17" s="15">
        <f>450+950</f>
        <v>1400</v>
      </c>
      <c r="G17" s="13">
        <f t="shared" si="0"/>
        <v>249.27567567567567</v>
      </c>
      <c r="H17" s="13">
        <f t="shared" si="1"/>
        <v>197.64</v>
      </c>
      <c r="I17" s="6">
        <v>116</v>
      </c>
      <c r="J17" s="6" t="s">
        <v>44</v>
      </c>
      <c r="K17" s="6"/>
    </row>
    <row r="18" spans="1:11" x14ac:dyDescent="0.2">
      <c r="A18" s="4"/>
      <c r="B18" s="5"/>
      <c r="C18" s="12"/>
      <c r="D18" s="17" t="s">
        <v>40</v>
      </c>
      <c r="E18" s="18">
        <f>SUM(E14:E17)</f>
        <v>10163</v>
      </c>
      <c r="F18" s="18">
        <f>SUM(F14:F17)</f>
        <v>11981</v>
      </c>
      <c r="G18" s="13"/>
      <c r="H18" s="13"/>
      <c r="I18" s="6"/>
      <c r="J18" s="6"/>
      <c r="K18" s="6"/>
    </row>
    <row r="19" spans="1:11" ht="11.25" customHeight="1" x14ac:dyDescent="0.2">
      <c r="A19" s="8" t="s">
        <v>56</v>
      </c>
      <c r="B19" s="14" t="s">
        <v>57</v>
      </c>
      <c r="C19" s="19">
        <v>99994</v>
      </c>
      <c r="D19" s="14" t="s">
        <v>58</v>
      </c>
      <c r="E19" s="15">
        <f>52+105</f>
        <v>157</v>
      </c>
      <c r="F19" s="15">
        <f>61+120</f>
        <v>181</v>
      </c>
      <c r="G19" s="20">
        <f t="shared" si="0"/>
        <v>636.90445859872614</v>
      </c>
      <c r="H19" s="20">
        <f t="shared" si="1"/>
        <v>552.45303867403311</v>
      </c>
      <c r="I19" s="15">
        <v>123</v>
      </c>
      <c r="J19" s="6"/>
      <c r="K19" s="6"/>
    </row>
    <row r="20" spans="1:11" x14ac:dyDescent="0.2">
      <c r="A20" s="11" t="s">
        <v>39</v>
      </c>
      <c r="B20" s="5"/>
      <c r="C20" s="12">
        <f>SUM(C14:C19)</f>
        <v>4840604</v>
      </c>
      <c r="D20" s="5"/>
      <c r="E20" s="6"/>
      <c r="F20" s="6"/>
      <c r="G20" s="13">
        <f>SUM(G14:G19)</f>
        <v>50323.242108633378</v>
      </c>
      <c r="H20" s="13">
        <f>SUM(H14:H19)</f>
        <v>25683.10717692288</v>
      </c>
      <c r="I20" s="6"/>
      <c r="J20" s="6"/>
      <c r="K20" s="6"/>
    </row>
    <row r="21" spans="1:11" x14ac:dyDescent="0.2">
      <c r="A21" s="4"/>
      <c r="B21" s="5"/>
      <c r="C21" s="5"/>
      <c r="D21" s="5"/>
      <c r="E21" s="6"/>
      <c r="F21" s="6"/>
      <c r="G21" s="13"/>
      <c r="H21" s="13"/>
      <c r="I21" s="6"/>
      <c r="J21" s="6"/>
      <c r="K21" s="6"/>
    </row>
    <row r="22" spans="1:11" ht="20.399999999999999" x14ac:dyDescent="0.2">
      <c r="A22" s="11" t="s">
        <v>4</v>
      </c>
      <c r="B22" s="17" t="s">
        <v>59</v>
      </c>
      <c r="C22" s="17"/>
      <c r="D22" s="17"/>
      <c r="E22" s="18" t="s">
        <v>60</v>
      </c>
      <c r="F22" s="6"/>
      <c r="G22" s="13"/>
      <c r="H22" s="13"/>
      <c r="I22" s="6">
        <v>153</v>
      </c>
      <c r="J22" s="6"/>
      <c r="K22" s="6"/>
    </row>
    <row r="23" spans="1:11" ht="11.25" customHeight="1" x14ac:dyDescent="0.2">
      <c r="A23" s="4" t="s">
        <v>61</v>
      </c>
      <c r="B23" s="5" t="s">
        <v>62</v>
      </c>
      <c r="C23" s="12">
        <v>845189</v>
      </c>
      <c r="D23" s="5" t="s">
        <v>63</v>
      </c>
      <c r="E23" s="6">
        <v>4500</v>
      </c>
      <c r="F23" s="6">
        <f>1725+3500</f>
        <v>5225</v>
      </c>
      <c r="G23" s="13">
        <f t="shared" ref="G23:G25" si="2">C23/E23</f>
        <v>187.81977777777777</v>
      </c>
      <c r="H23" s="13">
        <f t="shared" ref="H23:H25" si="3">C23/F23</f>
        <v>161.75866028708134</v>
      </c>
      <c r="I23" s="6">
        <v>178</v>
      </c>
      <c r="J23" s="6"/>
      <c r="K23" s="6"/>
    </row>
    <row r="24" spans="1:11" ht="11.25" customHeight="1" x14ac:dyDescent="0.2">
      <c r="A24" s="4" t="s">
        <v>64</v>
      </c>
      <c r="B24" s="5" t="s">
        <v>65</v>
      </c>
      <c r="C24" s="12">
        <v>161339</v>
      </c>
      <c r="D24" s="5" t="s">
        <v>66</v>
      </c>
      <c r="E24" s="6">
        <f>135*2</f>
        <v>270</v>
      </c>
      <c r="F24" s="6">
        <f>159*2</f>
        <v>318</v>
      </c>
      <c r="G24" s="13">
        <f t="shared" si="2"/>
        <v>597.55185185185189</v>
      </c>
      <c r="H24" s="13">
        <f t="shared" si="3"/>
        <v>507.35534591194971</v>
      </c>
      <c r="I24" s="6">
        <v>188</v>
      </c>
      <c r="J24" s="38" t="s">
        <v>67</v>
      </c>
      <c r="K24" s="6"/>
    </row>
    <row r="25" spans="1:11" ht="11.25" customHeight="1" x14ac:dyDescent="0.2">
      <c r="A25" s="8" t="s">
        <v>68</v>
      </c>
      <c r="B25" s="14" t="s">
        <v>69</v>
      </c>
      <c r="C25" s="19">
        <v>379463</v>
      </c>
      <c r="D25" s="14" t="s">
        <v>70</v>
      </c>
      <c r="E25" s="15">
        <f>16+9</f>
        <v>25</v>
      </c>
      <c r="F25" s="15">
        <v>45</v>
      </c>
      <c r="G25" s="20">
        <f t="shared" si="2"/>
        <v>15178.52</v>
      </c>
      <c r="H25" s="20">
        <f t="shared" si="3"/>
        <v>8432.5111111111109</v>
      </c>
      <c r="I25" s="15">
        <v>197</v>
      </c>
      <c r="J25" s="6"/>
      <c r="K25" s="6"/>
    </row>
    <row r="26" spans="1:11" x14ac:dyDescent="0.2">
      <c r="A26" s="11" t="s">
        <v>39</v>
      </c>
      <c r="B26" s="5"/>
      <c r="C26" s="12">
        <f>SUM(C23:C25)</f>
        <v>1385991</v>
      </c>
      <c r="D26" s="5"/>
      <c r="E26" s="6"/>
      <c r="F26" s="6"/>
      <c r="G26" s="13">
        <f>SUM(G23:G25)</f>
        <v>15963.89162962963</v>
      </c>
      <c r="H26" s="13">
        <f>SUM(H23:H25)</f>
        <v>9101.6251173101427</v>
      </c>
      <c r="I26" s="6"/>
      <c r="J26" s="6"/>
      <c r="K26" s="6"/>
    </row>
    <row r="27" spans="1:11" ht="13.8" x14ac:dyDescent="0.3">
      <c r="A27" s="21" t="s">
        <v>72</v>
      </c>
      <c r="B27" s="22"/>
      <c r="C27" s="35">
        <f>C20+C26</f>
        <v>6226595</v>
      </c>
      <c r="D27" s="5"/>
      <c r="E27" s="6"/>
      <c r="F27" s="6"/>
      <c r="G27" s="13"/>
      <c r="H27" s="13"/>
      <c r="I27" s="6"/>
      <c r="J27" s="6"/>
      <c r="K27" s="6"/>
    </row>
    <row r="28" spans="1:11" x14ac:dyDescent="0.2">
      <c r="A28" s="4"/>
      <c r="B28" s="5"/>
      <c r="C28" s="5"/>
      <c r="D28" s="5"/>
      <c r="E28" s="6"/>
      <c r="F28" s="6"/>
      <c r="G28" s="13"/>
      <c r="H28" s="13"/>
      <c r="I28" s="6"/>
      <c r="J28" s="6"/>
      <c r="K28" s="6"/>
    </row>
    <row r="29" spans="1:11" ht="20.399999999999999" x14ac:dyDescent="0.2">
      <c r="A29" s="11" t="s">
        <v>5</v>
      </c>
      <c r="B29" s="17" t="s">
        <v>71</v>
      </c>
      <c r="C29" s="5"/>
      <c r="D29" s="5"/>
      <c r="E29" s="6"/>
      <c r="F29" s="6"/>
      <c r="G29" s="13"/>
      <c r="H29" s="13"/>
      <c r="I29" s="6">
        <v>225</v>
      </c>
      <c r="J29" s="6"/>
      <c r="K29" s="6"/>
    </row>
    <row r="30" spans="1:11" x14ac:dyDescent="0.2">
      <c r="A30" s="4" t="s">
        <v>73</v>
      </c>
      <c r="B30" s="5" t="s">
        <v>74</v>
      </c>
      <c r="C30" s="12">
        <v>530534</v>
      </c>
      <c r="D30" s="5" t="s">
        <v>75</v>
      </c>
      <c r="E30" s="6">
        <v>67</v>
      </c>
      <c r="F30" s="6">
        <v>123</v>
      </c>
      <c r="G30" s="13">
        <f t="shared" si="0"/>
        <v>7918.4179104477616</v>
      </c>
      <c r="H30" s="13">
        <f t="shared" si="1"/>
        <v>4313.2845528455282</v>
      </c>
      <c r="I30" s="6">
        <v>249</v>
      </c>
      <c r="J30" s="6"/>
      <c r="K30" s="6"/>
    </row>
    <row r="31" spans="1:11" ht="11.25" customHeight="1" x14ac:dyDescent="0.2">
      <c r="A31" s="23" t="s">
        <v>76</v>
      </c>
      <c r="B31" s="24" t="s">
        <v>77</v>
      </c>
      <c r="C31" s="25">
        <v>1177422</v>
      </c>
      <c r="D31" s="24" t="s">
        <v>78</v>
      </c>
      <c r="E31" s="26">
        <f>16+32</f>
        <v>48</v>
      </c>
      <c r="F31" s="26">
        <v>65</v>
      </c>
      <c r="G31" s="27">
        <f t="shared" si="0"/>
        <v>24529.625</v>
      </c>
      <c r="H31" s="27">
        <f t="shared" si="1"/>
        <v>18114.184615384616</v>
      </c>
      <c r="I31" s="26">
        <v>256</v>
      </c>
      <c r="J31" s="6" t="s">
        <v>79</v>
      </c>
      <c r="K31" s="6"/>
    </row>
    <row r="32" spans="1:11" ht="11.25" customHeight="1" x14ac:dyDescent="0.2">
      <c r="A32" s="8" t="s">
        <v>80</v>
      </c>
      <c r="B32" s="14" t="s">
        <v>81</v>
      </c>
      <c r="C32" s="19">
        <v>365849</v>
      </c>
      <c r="D32" s="14"/>
      <c r="E32" s="15"/>
      <c r="F32" s="15"/>
      <c r="G32" s="20"/>
      <c r="H32" s="20"/>
      <c r="I32" s="26"/>
      <c r="J32" s="6"/>
      <c r="K32" s="6"/>
    </row>
    <row r="33" spans="1:11" ht="13.8" x14ac:dyDescent="0.3">
      <c r="A33" s="11" t="s">
        <v>39</v>
      </c>
      <c r="B33" s="5"/>
      <c r="C33" s="35">
        <f>SUM(C30:C32)</f>
        <v>2073805</v>
      </c>
      <c r="D33" s="5"/>
      <c r="E33" s="6"/>
      <c r="F33" s="6"/>
      <c r="G33" s="13">
        <f>SUM(G30:G31)</f>
        <v>32448.042910447763</v>
      </c>
      <c r="H33" s="13">
        <f>SUM(H30:H31)</f>
        <v>22427.469168230145</v>
      </c>
      <c r="I33" s="6"/>
      <c r="J33" s="6"/>
      <c r="K33" s="6"/>
    </row>
    <row r="34" spans="1:11" x14ac:dyDescent="0.2">
      <c r="A34" s="4"/>
      <c r="B34" s="5"/>
      <c r="C34" s="5"/>
      <c r="D34" s="5"/>
      <c r="E34" s="6"/>
      <c r="F34" s="6"/>
      <c r="G34" s="13"/>
      <c r="H34" s="13"/>
      <c r="I34" s="6"/>
      <c r="J34" s="6"/>
      <c r="K34" s="6"/>
    </row>
    <row r="35" spans="1:11" ht="24" customHeight="1" x14ac:dyDescent="0.2">
      <c r="A35" s="11" t="s">
        <v>6</v>
      </c>
      <c r="B35" s="17" t="s">
        <v>99</v>
      </c>
      <c r="C35" s="5"/>
      <c r="D35" s="5"/>
      <c r="E35" s="6"/>
      <c r="F35" s="6"/>
      <c r="G35" s="13"/>
      <c r="H35" s="13"/>
      <c r="I35" s="6">
        <v>305</v>
      </c>
      <c r="J35" s="6"/>
      <c r="K35" s="6"/>
    </row>
    <row r="36" spans="1:11" ht="30.6" x14ac:dyDescent="0.2">
      <c r="A36" s="4" t="s">
        <v>82</v>
      </c>
      <c r="B36" s="5" t="s">
        <v>83</v>
      </c>
      <c r="C36" s="12">
        <v>2812146</v>
      </c>
      <c r="D36" s="5" t="s">
        <v>84</v>
      </c>
      <c r="E36" s="6">
        <v>6000</v>
      </c>
      <c r="F36" s="6">
        <v>9000</v>
      </c>
      <c r="G36" s="13">
        <f t="shared" si="0"/>
        <v>468.69099999999997</v>
      </c>
      <c r="H36" s="13">
        <f t="shared" si="1"/>
        <v>312.46066666666667</v>
      </c>
      <c r="I36" s="6">
        <v>325</v>
      </c>
      <c r="J36" s="6"/>
      <c r="K36" s="6"/>
    </row>
    <row r="37" spans="1:11" ht="11.25" customHeight="1" x14ac:dyDescent="0.2">
      <c r="A37" s="4" t="s">
        <v>85</v>
      </c>
      <c r="B37" s="5" t="s">
        <v>86</v>
      </c>
      <c r="C37" s="12">
        <v>156866</v>
      </c>
      <c r="D37" s="5" t="s">
        <v>90</v>
      </c>
      <c r="E37" s="6">
        <v>159</v>
      </c>
      <c r="F37" s="6">
        <f>20+150+75</f>
        <v>245</v>
      </c>
      <c r="G37" s="13">
        <f t="shared" si="0"/>
        <v>986.57861635220127</v>
      </c>
      <c r="H37" s="13">
        <f t="shared" si="1"/>
        <v>640.269387755102</v>
      </c>
      <c r="I37" s="6">
        <v>342</v>
      </c>
      <c r="J37" s="6"/>
      <c r="K37" s="6"/>
    </row>
    <row r="38" spans="1:11" ht="11.25" customHeight="1" x14ac:dyDescent="0.2">
      <c r="A38" s="4" t="s">
        <v>87</v>
      </c>
      <c r="B38" s="5" t="s">
        <v>88</v>
      </c>
      <c r="C38" s="12">
        <v>232433</v>
      </c>
      <c r="D38" s="5" t="s">
        <v>89</v>
      </c>
      <c r="E38" s="6">
        <v>105</v>
      </c>
      <c r="F38" s="6">
        <v>165</v>
      </c>
      <c r="G38" s="13">
        <f t="shared" si="0"/>
        <v>2213.6476190476192</v>
      </c>
      <c r="H38" s="13">
        <f t="shared" si="1"/>
        <v>1408.6848484848485</v>
      </c>
      <c r="I38" s="6">
        <v>349</v>
      </c>
      <c r="J38" s="6"/>
      <c r="K38" s="6"/>
    </row>
    <row r="39" spans="1:11" x14ac:dyDescent="0.2">
      <c r="A39" s="4" t="s">
        <v>91</v>
      </c>
      <c r="B39" s="5" t="s">
        <v>92</v>
      </c>
      <c r="C39" s="12">
        <v>354552</v>
      </c>
      <c r="D39" s="5" t="s">
        <v>93</v>
      </c>
      <c r="E39" s="6">
        <v>9512</v>
      </c>
      <c r="F39" s="6">
        <v>10515</v>
      </c>
      <c r="G39" s="13">
        <f t="shared" si="0"/>
        <v>37.274179983179145</v>
      </c>
      <c r="H39" s="13">
        <f t="shared" si="1"/>
        <v>33.718687589158343</v>
      </c>
      <c r="I39" s="6">
        <v>351</v>
      </c>
      <c r="J39" s="6"/>
      <c r="K39" s="6"/>
    </row>
    <row r="40" spans="1:11" x14ac:dyDescent="0.2">
      <c r="A40" s="4" t="s">
        <v>94</v>
      </c>
      <c r="B40" s="5" t="s">
        <v>96</v>
      </c>
      <c r="C40" s="12">
        <v>430305</v>
      </c>
      <c r="D40" s="5" t="s">
        <v>95</v>
      </c>
      <c r="E40" s="6">
        <v>3000</v>
      </c>
      <c r="F40" s="6">
        <f>1375+2750</f>
        <v>4125</v>
      </c>
      <c r="G40" s="13">
        <f t="shared" si="0"/>
        <v>143.435</v>
      </c>
      <c r="H40" s="13">
        <f t="shared" si="1"/>
        <v>104.31636363636363</v>
      </c>
      <c r="I40" s="6">
        <v>367</v>
      </c>
      <c r="J40" s="6"/>
      <c r="K40" s="6"/>
    </row>
    <row r="41" spans="1:11" ht="20.399999999999999" x14ac:dyDescent="0.2">
      <c r="A41" s="4" t="s">
        <v>97</v>
      </c>
      <c r="B41" s="5" t="s">
        <v>98</v>
      </c>
      <c r="C41" s="12">
        <v>37478</v>
      </c>
      <c r="D41" s="5"/>
      <c r="E41" s="6">
        <f>22+45</f>
        <v>67</v>
      </c>
      <c r="F41" s="6">
        <f>35+70</f>
        <v>105</v>
      </c>
      <c r="G41" s="13">
        <f t="shared" si="0"/>
        <v>559.37313432835822</v>
      </c>
      <c r="H41" s="13">
        <f t="shared" si="1"/>
        <v>356.93333333333334</v>
      </c>
      <c r="I41" s="6">
        <v>373</v>
      </c>
      <c r="J41" s="6"/>
      <c r="K41" s="6"/>
    </row>
    <row r="42" spans="1:11" x14ac:dyDescent="0.2">
      <c r="A42" s="8" t="s">
        <v>73</v>
      </c>
      <c r="B42" s="14" t="s">
        <v>100</v>
      </c>
      <c r="C42" s="19">
        <v>33806</v>
      </c>
      <c r="D42" s="14"/>
      <c r="E42" s="15">
        <f>20+26+50+42+49+100</f>
        <v>287</v>
      </c>
      <c r="F42" s="15">
        <f>37+37+65+74+65+7+130</f>
        <v>415</v>
      </c>
      <c r="G42" s="20">
        <f t="shared" si="0"/>
        <v>117.79094076655052</v>
      </c>
      <c r="H42" s="20">
        <f t="shared" si="1"/>
        <v>81.460240963855426</v>
      </c>
      <c r="I42" s="6"/>
      <c r="J42" s="6"/>
      <c r="K42" s="6"/>
    </row>
    <row r="43" spans="1:11" ht="13.8" x14ac:dyDescent="0.3">
      <c r="A43" s="11" t="s">
        <v>39</v>
      </c>
      <c r="B43" s="5"/>
      <c r="C43" s="35">
        <f>SUM(C36:C42)</f>
        <v>4057586</v>
      </c>
      <c r="D43" s="5"/>
      <c r="E43" s="6"/>
      <c r="F43" s="6"/>
      <c r="G43" s="13">
        <f>SUM(G36:G42)</f>
        <v>4526.790490477908</v>
      </c>
      <c r="H43" s="13">
        <f>SUM(H36:H42)</f>
        <v>2937.8435284293287</v>
      </c>
      <c r="I43" s="6"/>
      <c r="J43" s="6"/>
      <c r="K43" s="6"/>
    </row>
    <row r="44" spans="1:11" x14ac:dyDescent="0.2">
      <c r="A44" s="4"/>
      <c r="B44" s="5"/>
      <c r="C44" s="5"/>
      <c r="D44" s="5"/>
      <c r="E44" s="6"/>
      <c r="F44" s="6"/>
      <c r="G44" s="13"/>
      <c r="H44" s="13"/>
      <c r="I44" s="6"/>
      <c r="J44" s="6"/>
      <c r="K44" s="6"/>
    </row>
    <row r="45" spans="1:11" ht="20.399999999999999" x14ac:dyDescent="0.2">
      <c r="A45" s="11" t="s">
        <v>7</v>
      </c>
      <c r="B45" s="17" t="s">
        <v>101</v>
      </c>
      <c r="C45" s="5"/>
      <c r="D45" s="5"/>
      <c r="E45" s="6"/>
      <c r="F45" s="6"/>
      <c r="G45" s="13"/>
      <c r="H45" s="13"/>
      <c r="I45" s="6">
        <v>399</v>
      </c>
      <c r="J45" s="6"/>
      <c r="K45" s="6"/>
    </row>
    <row r="46" spans="1:11" ht="11.25" customHeight="1" x14ac:dyDescent="0.2">
      <c r="A46" s="4" t="s">
        <v>102</v>
      </c>
      <c r="B46" s="5" t="s">
        <v>103</v>
      </c>
      <c r="C46" s="12">
        <v>40402</v>
      </c>
      <c r="D46" s="5" t="s">
        <v>104</v>
      </c>
      <c r="E46" s="6">
        <v>6</v>
      </c>
      <c r="F46" s="6">
        <v>15</v>
      </c>
      <c r="G46" s="13">
        <f t="shared" si="0"/>
        <v>6733.666666666667</v>
      </c>
      <c r="H46" s="13">
        <f t="shared" si="1"/>
        <v>2693.4666666666667</v>
      </c>
      <c r="I46" s="6">
        <v>425</v>
      </c>
      <c r="J46" s="6"/>
      <c r="K46" s="6"/>
    </row>
    <row r="47" spans="1:11" ht="11.25" customHeight="1" x14ac:dyDescent="0.2">
      <c r="A47" s="4" t="s">
        <v>105</v>
      </c>
      <c r="B47" s="5" t="s">
        <v>106</v>
      </c>
      <c r="C47" s="12">
        <v>166501</v>
      </c>
      <c r="D47" s="5" t="s">
        <v>90</v>
      </c>
      <c r="E47" s="6">
        <f>9+12+4+4</f>
        <v>29</v>
      </c>
      <c r="F47" s="6">
        <f>12+12+15</f>
        <v>39</v>
      </c>
      <c r="G47" s="13">
        <f t="shared" si="0"/>
        <v>5741.4137931034484</v>
      </c>
      <c r="H47" s="13">
        <f t="shared" si="1"/>
        <v>4269.2564102564102</v>
      </c>
      <c r="I47" s="6">
        <v>444</v>
      </c>
      <c r="J47" s="6"/>
      <c r="K47" s="6"/>
    </row>
    <row r="48" spans="1:11" ht="11.25" customHeight="1" x14ac:dyDescent="0.2">
      <c r="A48" s="4" t="s">
        <v>105</v>
      </c>
      <c r="B48" s="5" t="s">
        <v>107</v>
      </c>
      <c r="C48" s="28">
        <v>328208</v>
      </c>
      <c r="D48" s="5" t="s">
        <v>108</v>
      </c>
      <c r="E48" s="6">
        <f>9+16</f>
        <v>25</v>
      </c>
      <c r="F48" s="6">
        <f>13+25</f>
        <v>38</v>
      </c>
      <c r="G48" s="13">
        <f t="shared" si="0"/>
        <v>13128.32</v>
      </c>
      <c r="H48" s="13">
        <f t="shared" si="1"/>
        <v>8637.0526315789466</v>
      </c>
      <c r="I48" s="6">
        <v>451</v>
      </c>
      <c r="J48" s="6"/>
      <c r="K48" s="6"/>
    </row>
    <row r="49" spans="1:11" ht="11.25" customHeight="1" x14ac:dyDescent="0.2">
      <c r="A49" s="4" t="s">
        <v>109</v>
      </c>
      <c r="B49" s="5" t="s">
        <v>110</v>
      </c>
      <c r="C49" s="12">
        <v>37535</v>
      </c>
      <c r="D49" s="5" t="s">
        <v>111</v>
      </c>
      <c r="E49" s="6">
        <f>9+15</f>
        <v>24</v>
      </c>
      <c r="F49" s="6">
        <f>12+23</f>
        <v>35</v>
      </c>
      <c r="G49" s="13">
        <f t="shared" si="0"/>
        <v>1563.9583333333333</v>
      </c>
      <c r="H49" s="13">
        <f t="shared" si="1"/>
        <v>1072.4285714285713</v>
      </c>
      <c r="I49" s="6">
        <v>458</v>
      </c>
      <c r="J49" s="6"/>
      <c r="K49" s="6"/>
    </row>
    <row r="50" spans="1:11" ht="11.25" customHeight="1" x14ac:dyDescent="0.2">
      <c r="A50" s="8" t="s">
        <v>112</v>
      </c>
      <c r="B50" s="14" t="s">
        <v>113</v>
      </c>
      <c r="C50" s="19">
        <v>58765</v>
      </c>
      <c r="D50" s="14" t="s">
        <v>114</v>
      </c>
      <c r="E50" s="15">
        <v>15</v>
      </c>
      <c r="F50" s="15">
        <v>20</v>
      </c>
      <c r="G50" s="20">
        <f t="shared" si="0"/>
        <v>3917.6666666666665</v>
      </c>
      <c r="H50" s="20">
        <f t="shared" si="1"/>
        <v>2938.25</v>
      </c>
      <c r="I50" s="15">
        <v>462</v>
      </c>
      <c r="J50" s="6"/>
      <c r="K50" s="6"/>
    </row>
    <row r="51" spans="1:11" ht="13.8" x14ac:dyDescent="0.3">
      <c r="A51" s="11" t="s">
        <v>39</v>
      </c>
      <c r="B51" s="5"/>
      <c r="C51" s="35">
        <f>SUM(C46:C50)</f>
        <v>631411</v>
      </c>
      <c r="D51" s="5"/>
      <c r="E51" s="6"/>
      <c r="F51" s="6"/>
      <c r="G51" s="13">
        <f>SUM(G46:G50)</f>
        <v>31085.025459770113</v>
      </c>
      <c r="H51" s="13">
        <f>SUM(H46:H50)</f>
        <v>19610.454279930596</v>
      </c>
      <c r="I51" s="6"/>
      <c r="J51" s="6"/>
      <c r="K51" s="6"/>
    </row>
    <row r="52" spans="1:11" x14ac:dyDescent="0.2">
      <c r="A52" s="4"/>
      <c r="B52" s="5"/>
      <c r="C52" s="5"/>
      <c r="D52" s="5"/>
      <c r="E52" s="6"/>
      <c r="F52" s="6"/>
      <c r="G52" s="13"/>
      <c r="H52" s="13"/>
      <c r="I52" s="6"/>
      <c r="J52" s="6"/>
      <c r="K52" s="6"/>
    </row>
    <row r="53" spans="1:11" ht="20.399999999999999" x14ac:dyDescent="0.2">
      <c r="A53" s="11" t="s">
        <v>8</v>
      </c>
      <c r="B53" s="17" t="s">
        <v>115</v>
      </c>
      <c r="C53" s="5"/>
      <c r="D53" s="5"/>
      <c r="E53" s="6"/>
      <c r="F53" s="6"/>
      <c r="G53" s="13"/>
      <c r="H53" s="13"/>
      <c r="I53" s="6">
        <v>489</v>
      </c>
      <c r="J53" s="6"/>
      <c r="K53" s="6"/>
    </row>
    <row r="54" spans="1:11" ht="11.25" customHeight="1" x14ac:dyDescent="0.2">
      <c r="A54" s="4" t="s">
        <v>116</v>
      </c>
      <c r="B54" s="5" t="s">
        <v>117</v>
      </c>
      <c r="C54" s="12">
        <v>414501</v>
      </c>
      <c r="D54" s="5" t="s">
        <v>118</v>
      </c>
      <c r="E54" s="6">
        <f>1312+2625</f>
        <v>3937</v>
      </c>
      <c r="F54" s="6">
        <f>1575+3150</f>
        <v>4725</v>
      </c>
      <c r="G54" s="13">
        <f t="shared" si="0"/>
        <v>105.28346456692914</v>
      </c>
      <c r="H54" s="13">
        <f t="shared" si="1"/>
        <v>87.725079365079367</v>
      </c>
      <c r="I54" s="6">
        <v>515</v>
      </c>
      <c r="J54" s="6"/>
      <c r="K54" s="6"/>
    </row>
    <row r="55" spans="1:11" ht="11.25" customHeight="1" x14ac:dyDescent="0.2">
      <c r="A55" s="4" t="s">
        <v>119</v>
      </c>
      <c r="B55" s="5" t="s">
        <v>120</v>
      </c>
      <c r="C55" s="12">
        <v>105181</v>
      </c>
      <c r="D55" s="5" t="s">
        <v>121</v>
      </c>
      <c r="E55" s="6">
        <v>11</v>
      </c>
      <c r="F55" s="6">
        <v>18</v>
      </c>
      <c r="G55" s="13">
        <f t="shared" si="0"/>
        <v>9561.9090909090901</v>
      </c>
      <c r="H55" s="13">
        <f t="shared" si="1"/>
        <v>5843.3888888888887</v>
      </c>
      <c r="I55" s="6">
        <v>521</v>
      </c>
      <c r="J55" s="6"/>
      <c r="K55" s="6"/>
    </row>
    <row r="56" spans="1:11" x14ac:dyDescent="0.2">
      <c r="A56" s="4" t="s">
        <v>52</v>
      </c>
      <c r="B56" s="5" t="s">
        <v>122</v>
      </c>
      <c r="C56" s="12">
        <v>1686679</v>
      </c>
      <c r="D56" s="5" t="s">
        <v>123</v>
      </c>
      <c r="E56" s="6">
        <v>3250</v>
      </c>
      <c r="F56" s="6">
        <v>6500</v>
      </c>
      <c r="G56" s="13">
        <f t="shared" si="0"/>
        <v>518.97815384615387</v>
      </c>
      <c r="H56" s="13">
        <f t="shared" si="1"/>
        <v>259.48907692307694</v>
      </c>
      <c r="I56" s="6">
        <v>522</v>
      </c>
      <c r="J56" s="6"/>
      <c r="K56" s="6"/>
    </row>
    <row r="57" spans="1:11" x14ac:dyDescent="0.2">
      <c r="A57" s="8" t="s">
        <v>124</v>
      </c>
      <c r="B57" s="14" t="s">
        <v>125</v>
      </c>
      <c r="C57" s="19">
        <v>114594</v>
      </c>
      <c r="D57" s="14" t="s">
        <v>126</v>
      </c>
      <c r="E57" s="15">
        <f>4+7</f>
        <v>11</v>
      </c>
      <c r="F57" s="15">
        <f>7+12</f>
        <v>19</v>
      </c>
      <c r="G57" s="20">
        <f t="shared" si="0"/>
        <v>10417.636363636364</v>
      </c>
      <c r="H57" s="20">
        <f t="shared" si="1"/>
        <v>6031.2631578947367</v>
      </c>
      <c r="I57" s="15">
        <v>527</v>
      </c>
      <c r="J57" s="6"/>
      <c r="K57" s="6"/>
    </row>
    <row r="58" spans="1:11" ht="13.8" x14ac:dyDescent="0.3">
      <c r="A58" s="11" t="s">
        <v>39</v>
      </c>
      <c r="B58" s="5"/>
      <c r="C58" s="35">
        <f>SUM(C54:C57)</f>
        <v>2320955</v>
      </c>
      <c r="D58" s="5"/>
      <c r="E58" s="6"/>
      <c r="F58" s="6"/>
      <c r="G58" s="13">
        <f>SUM(G54:G57)</f>
        <v>20603.807072958538</v>
      </c>
      <c r="H58" s="13">
        <f>SUM(H54:H57)</f>
        <v>12221.866203071782</v>
      </c>
      <c r="I58" s="6"/>
      <c r="J58" s="6"/>
      <c r="K58" s="6"/>
    </row>
    <row r="59" spans="1:11" x14ac:dyDescent="0.2">
      <c r="A59" s="4"/>
      <c r="B59" s="5"/>
      <c r="C59" s="5"/>
      <c r="D59" s="5"/>
      <c r="E59" s="6"/>
      <c r="F59" s="6"/>
      <c r="G59" s="13"/>
      <c r="H59" s="13"/>
      <c r="I59" s="6"/>
      <c r="J59" s="6"/>
      <c r="K59" s="6"/>
    </row>
    <row r="60" spans="1:11" ht="20.399999999999999" x14ac:dyDescent="0.2">
      <c r="A60" s="11" t="s">
        <v>9</v>
      </c>
      <c r="B60" s="17" t="s">
        <v>128</v>
      </c>
      <c r="C60" s="5"/>
      <c r="D60" s="5"/>
      <c r="E60" s="6"/>
      <c r="F60" s="6"/>
      <c r="G60" s="13"/>
      <c r="H60" s="13"/>
      <c r="I60" s="6">
        <v>563</v>
      </c>
      <c r="J60" s="6"/>
      <c r="K60" s="6"/>
    </row>
    <row r="61" spans="1:11" x14ac:dyDescent="0.2">
      <c r="A61" s="29" t="s">
        <v>129</v>
      </c>
      <c r="B61" s="24" t="s">
        <v>130</v>
      </c>
      <c r="C61" s="25">
        <v>1824619</v>
      </c>
      <c r="D61" s="24" t="s">
        <v>131</v>
      </c>
      <c r="E61" s="26">
        <f>37+80+9+9</f>
        <v>135</v>
      </c>
      <c r="F61" s="26">
        <f>60+120</f>
        <v>180</v>
      </c>
      <c r="G61" s="27">
        <f t="shared" si="0"/>
        <v>13515.696296296297</v>
      </c>
      <c r="H61" s="27">
        <f t="shared" si="1"/>
        <v>10136.772222222222</v>
      </c>
      <c r="I61" s="6">
        <v>586</v>
      </c>
      <c r="J61" s="6"/>
      <c r="K61" s="6"/>
    </row>
    <row r="62" spans="1:11" x14ac:dyDescent="0.2">
      <c r="A62" s="30" t="s">
        <v>133</v>
      </c>
      <c r="B62" s="14" t="s">
        <v>134</v>
      </c>
      <c r="C62" s="19">
        <v>279051</v>
      </c>
      <c r="D62" s="14" t="s">
        <v>135</v>
      </c>
      <c r="E62" s="15">
        <f>11+14</f>
        <v>25</v>
      </c>
      <c r="F62" s="15">
        <f>24+27</f>
        <v>51</v>
      </c>
      <c r="G62" s="20">
        <f t="shared" si="0"/>
        <v>11162.04</v>
      </c>
      <c r="H62" s="20">
        <f t="shared" si="1"/>
        <v>5471.588235294118</v>
      </c>
      <c r="I62" s="15">
        <v>589</v>
      </c>
      <c r="J62" s="6" t="s">
        <v>132</v>
      </c>
      <c r="K62" s="6"/>
    </row>
    <row r="63" spans="1:11" ht="13.8" x14ac:dyDescent="0.3">
      <c r="A63" s="11" t="s">
        <v>39</v>
      </c>
      <c r="B63" s="5"/>
      <c r="C63" s="35">
        <f>SUM(C61:C62)</f>
        <v>2103670</v>
      </c>
      <c r="D63" s="5"/>
      <c r="E63" s="6"/>
      <c r="F63" s="6"/>
      <c r="G63" s="13">
        <f>SUM(G61:G62)</f>
        <v>24677.736296296298</v>
      </c>
      <c r="H63" s="13">
        <f>SUM(H61:H62)</f>
        <v>15608.360457516341</v>
      </c>
      <c r="I63" s="6"/>
      <c r="J63" s="6"/>
      <c r="K63" s="6"/>
    </row>
    <row r="64" spans="1:11" x14ac:dyDescent="0.2">
      <c r="A64" s="4"/>
      <c r="B64" s="5"/>
      <c r="C64" s="5"/>
      <c r="D64" s="5"/>
      <c r="E64" s="6"/>
      <c r="F64" s="6"/>
      <c r="G64" s="13"/>
      <c r="H64" s="13"/>
      <c r="I64" s="6"/>
      <c r="J64" s="6"/>
      <c r="K64" s="6"/>
    </row>
    <row r="65" spans="1:11" ht="33.75" customHeight="1" x14ac:dyDescent="0.2">
      <c r="A65" s="11" t="s">
        <v>10</v>
      </c>
      <c r="B65" s="17" t="s">
        <v>136</v>
      </c>
      <c r="C65" s="5"/>
      <c r="D65" s="5"/>
      <c r="E65" s="6"/>
      <c r="F65" s="6"/>
      <c r="G65" s="13"/>
      <c r="H65" s="13"/>
      <c r="I65" s="6">
        <v>615</v>
      </c>
      <c r="J65" s="6"/>
      <c r="K65" s="6"/>
    </row>
    <row r="66" spans="1:11" ht="11.25" customHeight="1" x14ac:dyDescent="0.2">
      <c r="A66" s="8" t="s">
        <v>137</v>
      </c>
      <c r="B66" s="14" t="s">
        <v>138</v>
      </c>
      <c r="C66" s="19">
        <v>4805329</v>
      </c>
      <c r="D66" s="14" t="s">
        <v>139</v>
      </c>
      <c r="E66" s="15">
        <f>41+94+20+15</f>
        <v>170</v>
      </c>
      <c r="F66" s="15">
        <f>59+159</f>
        <v>218</v>
      </c>
      <c r="G66" s="20">
        <f t="shared" ref="G66:G88" si="4">C66/E66</f>
        <v>28266.641176470588</v>
      </c>
      <c r="H66" s="20">
        <f t="shared" ref="H66:H88" si="5">C66/F66</f>
        <v>22042.793577981651</v>
      </c>
      <c r="I66" s="6">
        <v>643</v>
      </c>
      <c r="J66" s="6"/>
      <c r="K66" s="6"/>
    </row>
    <row r="67" spans="1:11" ht="13.8" x14ac:dyDescent="0.3">
      <c r="A67" s="11" t="s">
        <v>39</v>
      </c>
      <c r="B67" s="5"/>
      <c r="C67" s="35">
        <f>SUM(C66)</f>
        <v>4805329</v>
      </c>
      <c r="D67" s="5"/>
      <c r="E67" s="6"/>
      <c r="F67" s="6"/>
      <c r="G67" s="13">
        <f>SUM(G66)</f>
        <v>28266.641176470588</v>
      </c>
      <c r="H67" s="13">
        <f>SUM(H66)</f>
        <v>22042.793577981651</v>
      </c>
      <c r="I67" s="6"/>
      <c r="J67" s="6"/>
      <c r="K67" s="6"/>
    </row>
    <row r="68" spans="1:11" x14ac:dyDescent="0.2">
      <c r="A68" s="4"/>
      <c r="B68" s="5"/>
      <c r="C68" s="5"/>
      <c r="D68" s="5"/>
      <c r="E68" s="6"/>
      <c r="F68" s="6"/>
      <c r="G68" s="13"/>
      <c r="H68" s="13"/>
      <c r="I68" s="6"/>
      <c r="J68" s="6"/>
      <c r="K68" s="6"/>
    </row>
    <row r="69" spans="1:11" x14ac:dyDescent="0.2">
      <c r="A69" s="11" t="s">
        <v>19</v>
      </c>
      <c r="B69" s="17" t="s">
        <v>140</v>
      </c>
      <c r="C69" s="5"/>
      <c r="D69" s="5"/>
      <c r="E69" s="6"/>
      <c r="F69" s="6"/>
      <c r="G69" s="13"/>
      <c r="H69" s="13"/>
      <c r="I69" s="6">
        <v>697</v>
      </c>
      <c r="J69" s="6"/>
      <c r="K69" s="6"/>
    </row>
    <row r="70" spans="1:11" ht="11.25" customHeight="1" x14ac:dyDescent="0.2">
      <c r="A70" s="4" t="s">
        <v>142</v>
      </c>
      <c r="B70" s="5" t="s">
        <v>141</v>
      </c>
      <c r="C70" s="12">
        <v>1235177</v>
      </c>
      <c r="D70" s="5" t="s">
        <v>143</v>
      </c>
      <c r="E70" s="6">
        <f>1400+2800</f>
        <v>4200</v>
      </c>
      <c r="F70" s="6">
        <f>1700+3500</f>
        <v>5200</v>
      </c>
      <c r="G70" s="13">
        <f t="shared" si="4"/>
        <v>294.08976190476193</v>
      </c>
      <c r="H70" s="13">
        <f t="shared" si="5"/>
        <v>237.53403846153847</v>
      </c>
      <c r="I70" s="6">
        <v>723</v>
      </c>
      <c r="J70" s="6"/>
      <c r="K70" s="6"/>
    </row>
    <row r="71" spans="1:11" ht="11.25" customHeight="1" x14ac:dyDescent="0.2">
      <c r="A71" s="8" t="s">
        <v>144</v>
      </c>
      <c r="B71" s="14" t="s">
        <v>145</v>
      </c>
      <c r="C71" s="19">
        <v>395123</v>
      </c>
      <c r="D71" s="14" t="s">
        <v>146</v>
      </c>
      <c r="E71" s="15"/>
      <c r="F71" s="15"/>
      <c r="G71" s="20" t="e">
        <f t="shared" si="4"/>
        <v>#DIV/0!</v>
      </c>
      <c r="H71" s="20" t="e">
        <f t="shared" si="5"/>
        <v>#DIV/0!</v>
      </c>
      <c r="I71" s="6">
        <v>736</v>
      </c>
      <c r="J71" s="6" t="s">
        <v>132</v>
      </c>
      <c r="K71" s="6"/>
    </row>
    <row r="72" spans="1:11" ht="13.8" x14ac:dyDescent="0.3">
      <c r="A72" s="11" t="s">
        <v>39</v>
      </c>
      <c r="B72" s="5"/>
      <c r="C72" s="35">
        <f>SUM(C70:C71)</f>
        <v>1630300</v>
      </c>
      <c r="D72" s="5"/>
      <c r="E72" s="6"/>
      <c r="F72" s="6"/>
      <c r="G72" s="13" t="e">
        <f>SUM(G70:G71)</f>
        <v>#DIV/0!</v>
      </c>
      <c r="H72" s="13" t="e">
        <f>SUM(H70:H71)</f>
        <v>#DIV/0!</v>
      </c>
      <c r="I72" s="6"/>
      <c r="J72" s="6"/>
      <c r="K72" s="6"/>
    </row>
    <row r="73" spans="1:11" x14ac:dyDescent="0.2">
      <c r="A73" s="4"/>
      <c r="B73" s="5"/>
      <c r="C73" s="5"/>
      <c r="D73" s="5"/>
      <c r="E73" s="6"/>
      <c r="F73" s="6"/>
      <c r="G73" s="13"/>
      <c r="H73" s="13"/>
      <c r="I73" s="6"/>
      <c r="J73" s="6"/>
      <c r="K73" s="6"/>
    </row>
    <row r="74" spans="1:11" x14ac:dyDescent="0.2">
      <c r="A74" s="11" t="s">
        <v>11</v>
      </c>
      <c r="B74" s="17" t="s">
        <v>151</v>
      </c>
      <c r="C74" s="5"/>
      <c r="D74" s="5"/>
      <c r="E74" s="6"/>
      <c r="F74" s="6"/>
      <c r="G74" s="13"/>
      <c r="H74" s="13"/>
      <c r="I74" s="6">
        <v>767</v>
      </c>
      <c r="J74" s="6"/>
      <c r="K74" s="6"/>
    </row>
    <row r="75" spans="1:11" ht="11.25" customHeight="1" x14ac:dyDescent="0.2">
      <c r="A75" s="8" t="s">
        <v>148</v>
      </c>
      <c r="B75" s="14" t="s">
        <v>149</v>
      </c>
      <c r="C75" s="19">
        <v>1678130</v>
      </c>
      <c r="D75" s="14" t="s">
        <v>150</v>
      </c>
      <c r="E75" s="15">
        <f>3200+7500</f>
        <v>10700</v>
      </c>
      <c r="F75" s="15">
        <f>3500+8000</f>
        <v>11500</v>
      </c>
      <c r="G75" s="20">
        <f t="shared" si="4"/>
        <v>156.83457943925234</v>
      </c>
      <c r="H75" s="20">
        <f t="shared" si="5"/>
        <v>145.92434782608694</v>
      </c>
      <c r="I75" s="6">
        <v>787</v>
      </c>
      <c r="J75" s="6"/>
      <c r="K75" s="6"/>
    </row>
    <row r="76" spans="1:11" ht="13.8" x14ac:dyDescent="0.3">
      <c r="A76" s="11" t="s">
        <v>39</v>
      </c>
      <c r="B76" s="5"/>
      <c r="C76" s="35">
        <f>SUM(C75)</f>
        <v>1678130</v>
      </c>
      <c r="D76" s="5"/>
      <c r="E76" s="6"/>
      <c r="F76" s="6"/>
      <c r="G76" s="13">
        <f>SUM(G75)</f>
        <v>156.83457943925234</v>
      </c>
      <c r="H76" s="13">
        <f>SUM(H75)</f>
        <v>145.92434782608694</v>
      </c>
      <c r="I76" s="6"/>
      <c r="J76" s="6"/>
      <c r="K76" s="6"/>
    </row>
    <row r="77" spans="1:11" x14ac:dyDescent="0.2">
      <c r="A77" s="4"/>
      <c r="B77" s="5"/>
      <c r="C77" s="5"/>
      <c r="D77" s="5"/>
      <c r="E77" s="6"/>
      <c r="F77" s="6"/>
      <c r="G77" s="13"/>
      <c r="H77" s="13"/>
      <c r="I77" s="6"/>
      <c r="J77" s="6"/>
      <c r="K77" s="6"/>
    </row>
    <row r="78" spans="1:11" ht="20.399999999999999" x14ac:dyDescent="0.2">
      <c r="A78" s="31" t="s">
        <v>12</v>
      </c>
      <c r="B78" s="18" t="s">
        <v>151</v>
      </c>
      <c r="C78" s="6"/>
      <c r="D78" s="6"/>
      <c r="E78" s="6"/>
      <c r="F78" s="6"/>
      <c r="G78" s="13"/>
      <c r="H78" s="13"/>
      <c r="I78" s="6">
        <v>813</v>
      </c>
      <c r="J78" s="6"/>
      <c r="K78" s="6"/>
    </row>
    <row r="79" spans="1:11" x14ac:dyDescent="0.2">
      <c r="A79" s="32" t="s">
        <v>152</v>
      </c>
      <c r="B79" s="6"/>
      <c r="C79" s="6"/>
      <c r="D79" s="6"/>
      <c r="E79" s="6"/>
      <c r="F79" s="6"/>
      <c r="G79" s="13"/>
      <c r="H79" s="13"/>
      <c r="I79" s="6"/>
      <c r="J79" s="6"/>
      <c r="K79" s="6"/>
    </row>
    <row r="80" spans="1:11" x14ac:dyDescent="0.2">
      <c r="A80" s="32"/>
      <c r="B80" s="6"/>
      <c r="C80" s="6"/>
      <c r="D80" s="6"/>
      <c r="E80" s="6"/>
      <c r="F80" s="6"/>
      <c r="G80" s="13"/>
      <c r="H80" s="13"/>
      <c r="I80" s="6"/>
      <c r="J80" s="6"/>
      <c r="K80" s="6"/>
    </row>
    <row r="81" spans="1:11" x14ac:dyDescent="0.2">
      <c r="A81" s="31" t="s">
        <v>14</v>
      </c>
      <c r="B81" s="18" t="s">
        <v>153</v>
      </c>
      <c r="C81" s="18"/>
      <c r="D81" s="18"/>
      <c r="E81" s="18" t="s">
        <v>154</v>
      </c>
      <c r="F81" s="6"/>
      <c r="G81" s="13"/>
      <c r="H81" s="13"/>
      <c r="I81" s="6">
        <v>851</v>
      </c>
      <c r="J81" s="6"/>
      <c r="K81" s="6"/>
    </row>
    <row r="82" spans="1:11" x14ac:dyDescent="0.2">
      <c r="A82" s="32" t="s">
        <v>152</v>
      </c>
      <c r="B82" s="6"/>
      <c r="C82" s="6"/>
      <c r="D82" s="6"/>
      <c r="E82" s="6"/>
      <c r="F82" s="6"/>
      <c r="G82" s="13"/>
      <c r="H82" s="13"/>
      <c r="I82" s="6"/>
      <c r="J82" s="6"/>
      <c r="K82" s="6"/>
    </row>
    <row r="83" spans="1:11" x14ac:dyDescent="0.2">
      <c r="A83" s="32"/>
      <c r="B83" s="6"/>
      <c r="C83" s="6"/>
      <c r="D83" s="6"/>
      <c r="E83" s="6"/>
      <c r="F83" s="6"/>
      <c r="G83" s="13"/>
      <c r="H83" s="13"/>
      <c r="I83" s="6"/>
      <c r="J83" s="6"/>
      <c r="K83" s="6"/>
    </row>
    <row r="84" spans="1:11" x14ac:dyDescent="0.2">
      <c r="A84" s="31" t="s">
        <v>13</v>
      </c>
      <c r="B84" s="18" t="s">
        <v>155</v>
      </c>
      <c r="C84" s="18"/>
      <c r="D84" s="18" t="s">
        <v>156</v>
      </c>
      <c r="E84" s="6"/>
      <c r="F84" s="6"/>
      <c r="G84" s="13"/>
      <c r="H84" s="13"/>
      <c r="I84" s="6">
        <v>901</v>
      </c>
      <c r="J84" s="6"/>
      <c r="K84" s="6"/>
    </row>
    <row r="85" spans="1:11" x14ac:dyDescent="0.2">
      <c r="A85" s="32" t="s">
        <v>152</v>
      </c>
      <c r="B85" s="6"/>
      <c r="C85" s="6"/>
      <c r="D85" s="6"/>
      <c r="E85" s="6"/>
      <c r="F85" s="6"/>
      <c r="G85" s="13"/>
      <c r="H85" s="13"/>
      <c r="I85" s="6"/>
      <c r="J85" s="6"/>
      <c r="K85" s="6"/>
    </row>
    <row r="86" spans="1:11" x14ac:dyDescent="0.2">
      <c r="A86" s="32"/>
      <c r="B86" s="6"/>
      <c r="C86" s="6"/>
      <c r="D86" s="6"/>
      <c r="E86" s="6"/>
      <c r="F86" s="6"/>
      <c r="G86" s="13"/>
      <c r="H86" s="13"/>
      <c r="I86" s="6"/>
      <c r="J86" s="6"/>
      <c r="K86" s="6"/>
    </row>
    <row r="87" spans="1:11" ht="10.5" customHeight="1" x14ac:dyDescent="0.2">
      <c r="A87" s="31" t="s">
        <v>15</v>
      </c>
      <c r="B87" s="18" t="s">
        <v>155</v>
      </c>
      <c r="C87" s="18"/>
      <c r="D87" s="18" t="s">
        <v>157</v>
      </c>
      <c r="E87" s="6"/>
      <c r="F87" s="6"/>
      <c r="G87" s="13"/>
      <c r="H87" s="13"/>
      <c r="I87" s="6">
        <v>941</v>
      </c>
      <c r="J87" s="6"/>
      <c r="K87" s="6"/>
    </row>
    <row r="88" spans="1:11" x14ac:dyDescent="0.2">
      <c r="A88" s="32" t="s">
        <v>73</v>
      </c>
      <c r="B88" s="6" t="s">
        <v>158</v>
      </c>
      <c r="C88" s="36">
        <v>12707</v>
      </c>
      <c r="D88" s="6" t="s">
        <v>159</v>
      </c>
      <c r="E88" s="6">
        <v>6</v>
      </c>
      <c r="F88" s="6">
        <v>21</v>
      </c>
      <c r="G88" s="13">
        <f t="shared" si="4"/>
        <v>2117.8333333333335</v>
      </c>
      <c r="H88" s="13">
        <f t="shared" si="5"/>
        <v>605.09523809523807</v>
      </c>
      <c r="I88" s="6">
        <v>959</v>
      </c>
      <c r="J88" s="6"/>
      <c r="K88" s="6"/>
    </row>
    <row r="89" spans="1:11" x14ac:dyDescent="0.2">
      <c r="A89" s="32"/>
      <c r="B89" s="6"/>
      <c r="C89" s="6"/>
      <c r="D89" s="6"/>
      <c r="E89" s="6"/>
      <c r="F89" s="6"/>
      <c r="G89" s="13"/>
      <c r="H89" s="13"/>
      <c r="I89" s="6"/>
      <c r="J89" s="6"/>
      <c r="K89" s="6"/>
    </row>
    <row r="90" spans="1:11" ht="22.5" customHeight="1" x14ac:dyDescent="0.2">
      <c r="A90" s="31" t="s">
        <v>16</v>
      </c>
      <c r="B90" s="18" t="s">
        <v>160</v>
      </c>
      <c r="C90" s="6"/>
      <c r="D90" s="6"/>
      <c r="E90" s="6"/>
      <c r="F90" s="6"/>
      <c r="G90" s="13"/>
      <c r="H90" s="13"/>
      <c r="I90" s="6">
        <v>981</v>
      </c>
      <c r="J90" s="6"/>
      <c r="K90" s="6"/>
    </row>
    <row r="91" spans="1:11" x14ac:dyDescent="0.2">
      <c r="A91" s="32" t="s">
        <v>152</v>
      </c>
      <c r="B91" s="6"/>
      <c r="C91" s="6"/>
      <c r="D91" s="6"/>
      <c r="E91" s="6"/>
      <c r="F91" s="6"/>
      <c r="G91" s="13"/>
      <c r="H91" s="13"/>
      <c r="I91" s="6"/>
      <c r="J91" s="6"/>
      <c r="K91" s="6"/>
    </row>
    <row r="92" spans="1:11" x14ac:dyDescent="0.2">
      <c r="A92" s="32"/>
      <c r="B92" s="6"/>
      <c r="C92" s="6"/>
      <c r="D92" s="6"/>
      <c r="E92" s="6"/>
      <c r="F92" s="6"/>
      <c r="G92" s="6"/>
      <c r="H92" s="6"/>
      <c r="I92" s="6"/>
      <c r="J92" s="6"/>
      <c r="K92" s="6"/>
    </row>
    <row r="93" spans="1:11" ht="15.6" x14ac:dyDescent="0.3">
      <c r="A93" s="33" t="s">
        <v>127</v>
      </c>
      <c r="B93" s="34"/>
      <c r="C93" s="37">
        <f>SUM(C11,C27,C33,C43,C51,C58,C63,C67,C72,C76)</f>
        <v>29196777</v>
      </c>
      <c r="D93" s="6"/>
      <c r="E93" s="6"/>
      <c r="F93" s="6"/>
      <c r="G93" s="6"/>
      <c r="H93" s="6"/>
      <c r="I93" s="6"/>
      <c r="J93" s="6"/>
      <c r="K93" s="6"/>
    </row>
    <row r="94" spans="1:11" x14ac:dyDescent="0.2">
      <c r="A94" s="32"/>
      <c r="B94" s="6"/>
      <c r="C94" s="6"/>
      <c r="D94" s="6"/>
      <c r="E94" s="6"/>
      <c r="F94" s="6"/>
      <c r="G94" s="6"/>
      <c r="H94" s="6"/>
      <c r="I94" s="6"/>
      <c r="J94" s="6"/>
      <c r="K94" s="6"/>
    </row>
    <row r="95" spans="1:11" x14ac:dyDescent="0.2">
      <c r="A95" s="32" t="s">
        <v>50</v>
      </c>
      <c r="B95" s="6"/>
      <c r="C95" s="6"/>
      <c r="D95" s="6"/>
      <c r="E95" s="6"/>
      <c r="F95" s="6"/>
      <c r="G95" s="6"/>
      <c r="H95" s="6"/>
      <c r="I95" s="6"/>
      <c r="J95" s="6"/>
      <c r="K95" s="6"/>
    </row>
    <row r="96" spans="1:11" ht="20.399999999999999" x14ac:dyDescent="0.2">
      <c r="A96" s="32" t="s">
        <v>51</v>
      </c>
      <c r="B96" s="6"/>
      <c r="C96" s="6"/>
      <c r="D96" s="6"/>
      <c r="E96" s="6"/>
      <c r="F96" s="6"/>
      <c r="G96" s="6"/>
      <c r="H96" s="6"/>
      <c r="I96" s="6"/>
      <c r="J96" s="6"/>
      <c r="K96" s="6"/>
    </row>
    <row r="97" spans="1:11" x14ac:dyDescent="0.2">
      <c r="A97" s="32"/>
      <c r="B97" s="6"/>
      <c r="C97" s="6"/>
      <c r="D97" s="6"/>
      <c r="E97" s="6"/>
      <c r="F97" s="6"/>
      <c r="G97" s="6"/>
      <c r="H97" s="6"/>
      <c r="I97" s="6"/>
      <c r="J97" s="6"/>
      <c r="K97" s="6"/>
    </row>
    <row r="98" spans="1:11" x14ac:dyDescent="0.2">
      <c r="A98" s="32"/>
      <c r="B98" s="6"/>
      <c r="C98" s="6"/>
      <c r="D98" s="6"/>
      <c r="E98" s="6"/>
      <c r="F98" s="6"/>
      <c r="G98" s="6"/>
      <c r="H98" s="6"/>
      <c r="I98" s="6"/>
      <c r="J98" s="6"/>
      <c r="K98" s="6"/>
    </row>
    <row r="99" spans="1:11" x14ac:dyDescent="0.2">
      <c r="A99" s="32"/>
      <c r="B99" s="6"/>
      <c r="C99" s="6"/>
      <c r="D99" s="6"/>
      <c r="E99" s="6"/>
      <c r="F99" s="6"/>
      <c r="G99" s="6"/>
      <c r="H99" s="6"/>
      <c r="I99" s="6"/>
      <c r="J99" s="6"/>
      <c r="K99" s="6"/>
    </row>
    <row r="100" spans="1:11" x14ac:dyDescent="0.2">
      <c r="A100" s="32"/>
      <c r="B100" s="6"/>
      <c r="C100" s="6"/>
      <c r="D100" s="6"/>
      <c r="E100" s="6"/>
      <c r="F100" s="6"/>
      <c r="G100" s="6"/>
      <c r="H100" s="6"/>
      <c r="I100" s="6"/>
      <c r="J100" s="6"/>
      <c r="K100" s="6"/>
    </row>
    <row r="101" spans="1:11" x14ac:dyDescent="0.2">
      <c r="A101" s="32"/>
      <c r="B101" s="6"/>
      <c r="C101" s="6"/>
      <c r="D101" s="6"/>
      <c r="E101" s="6"/>
      <c r="F101" s="6"/>
      <c r="G101" s="6"/>
      <c r="H101" s="6"/>
      <c r="I101" s="6"/>
      <c r="J101" s="6"/>
      <c r="K101" s="6"/>
    </row>
    <row r="102" spans="1:11" x14ac:dyDescent="0.2">
      <c r="A102" s="32"/>
      <c r="B102" s="6"/>
      <c r="C102" s="6"/>
      <c r="D102" s="6"/>
      <c r="E102" s="6"/>
      <c r="F102" s="6"/>
      <c r="G102" s="6"/>
      <c r="H102" s="6"/>
      <c r="I102" s="6"/>
    </row>
    <row r="103" spans="1:11" x14ac:dyDescent="0.2">
      <c r="A103" s="32"/>
      <c r="B103" s="6"/>
      <c r="C103" s="6"/>
      <c r="D103" s="6"/>
      <c r="E103" s="6"/>
      <c r="F103" s="6"/>
      <c r="G103" s="6"/>
      <c r="H103" s="6"/>
      <c r="I103" s="6"/>
    </row>
    <row r="104" spans="1:11" x14ac:dyDescent="0.2">
      <c r="A104" s="32"/>
      <c r="B104" s="6"/>
      <c r="C104" s="6"/>
      <c r="D104" s="6"/>
      <c r="E104" s="6"/>
      <c r="F104" s="6"/>
      <c r="G104" s="6"/>
      <c r="H104" s="6"/>
      <c r="I104" s="6"/>
    </row>
    <row r="105" spans="1:11" x14ac:dyDescent="0.2">
      <c r="A105" s="32"/>
      <c r="B105" s="6"/>
      <c r="C105" s="6"/>
      <c r="D105" s="6"/>
      <c r="E105" s="6"/>
      <c r="F105" s="6"/>
      <c r="G105" s="6"/>
      <c r="H105" s="6"/>
      <c r="I105" s="6"/>
    </row>
    <row r="106" spans="1:11" x14ac:dyDescent="0.2">
      <c r="A106" s="32"/>
      <c r="B106" s="6"/>
      <c r="C106" s="6"/>
      <c r="D106" s="6"/>
      <c r="E106" s="6"/>
      <c r="F106" s="6"/>
      <c r="G106" s="6"/>
      <c r="H106" s="6"/>
      <c r="I106" s="6"/>
    </row>
    <row r="107" spans="1:11" x14ac:dyDescent="0.2">
      <c r="A107" s="32"/>
      <c r="B107" s="6"/>
      <c r="C107" s="6"/>
      <c r="D107" s="6"/>
      <c r="E107" s="6"/>
      <c r="F107" s="6"/>
      <c r="G107" s="6"/>
      <c r="H107" s="6"/>
      <c r="I107" s="6"/>
    </row>
    <row r="108" spans="1:11" x14ac:dyDescent="0.2">
      <c r="A108" s="32"/>
      <c r="B108" s="6"/>
      <c r="C108" s="6"/>
      <c r="D108" s="6"/>
      <c r="E108" s="6"/>
      <c r="F108" s="6"/>
      <c r="G108" s="6"/>
      <c r="H108" s="6"/>
      <c r="I108" s="6"/>
    </row>
    <row r="109" spans="1:11" x14ac:dyDescent="0.2">
      <c r="A109" s="32"/>
      <c r="B109" s="6"/>
      <c r="C109" s="6"/>
      <c r="D109" s="6"/>
      <c r="E109" s="6"/>
      <c r="F109" s="6"/>
      <c r="G109" s="6"/>
      <c r="H109" s="6"/>
      <c r="I109" s="6"/>
    </row>
    <row r="110" spans="1:11" x14ac:dyDescent="0.2">
      <c r="A110" s="32"/>
      <c r="B110" s="6"/>
      <c r="C110" s="6"/>
      <c r="D110" s="6"/>
      <c r="E110" s="6"/>
      <c r="F110" s="6"/>
      <c r="G110" s="6"/>
      <c r="H110" s="6"/>
      <c r="I110" s="6"/>
    </row>
    <row r="111" spans="1:11" x14ac:dyDescent="0.2">
      <c r="A111" s="32"/>
      <c r="B111" s="6"/>
      <c r="C111" s="6"/>
      <c r="D111" s="6"/>
      <c r="E111" s="6"/>
      <c r="F111" s="6"/>
      <c r="G111" s="6"/>
      <c r="H111" s="6"/>
      <c r="I111" s="6"/>
    </row>
    <row r="112" spans="1:11" x14ac:dyDescent="0.2">
      <c r="A112" s="32"/>
      <c r="B112" s="6"/>
      <c r="C112" s="6"/>
      <c r="D112" s="6"/>
      <c r="E112" s="6"/>
      <c r="F112" s="6"/>
      <c r="G112" s="6"/>
      <c r="H112" s="6"/>
      <c r="I112" s="6"/>
    </row>
    <row r="113" spans="1:9" x14ac:dyDescent="0.2">
      <c r="A113" s="32"/>
      <c r="B113" s="6"/>
      <c r="C113" s="6"/>
      <c r="D113" s="6"/>
      <c r="E113" s="6"/>
      <c r="F113" s="6"/>
      <c r="G113" s="6"/>
      <c r="H113" s="6"/>
      <c r="I113" s="6"/>
    </row>
    <row r="114" spans="1:9" x14ac:dyDescent="0.2">
      <c r="A114" s="32"/>
      <c r="B114" s="6"/>
      <c r="C114" s="6"/>
      <c r="D114" s="6"/>
      <c r="E114" s="6"/>
      <c r="F114" s="6"/>
      <c r="G114" s="6"/>
      <c r="H114" s="6"/>
      <c r="I114" s="6"/>
    </row>
    <row r="115" spans="1:9" x14ac:dyDescent="0.2">
      <c r="A115" s="32"/>
      <c r="B115" s="6"/>
      <c r="C115" s="6"/>
      <c r="D115" s="6"/>
      <c r="E115" s="6"/>
      <c r="F115" s="6"/>
      <c r="G115" s="6"/>
      <c r="H115" s="6"/>
      <c r="I115" s="6"/>
    </row>
    <row r="116" spans="1:9" x14ac:dyDescent="0.2">
      <c r="A116" s="32"/>
      <c r="B116" s="6"/>
      <c r="C116" s="6"/>
      <c r="D116" s="6"/>
      <c r="E116" s="6"/>
      <c r="F116" s="6"/>
      <c r="G116" s="6"/>
      <c r="H116" s="6"/>
      <c r="I116" s="6"/>
    </row>
    <row r="117" spans="1:9" x14ac:dyDescent="0.2">
      <c r="A117" s="32"/>
      <c r="B117" s="6"/>
      <c r="C117" s="6"/>
      <c r="D117" s="6"/>
      <c r="E117" s="6"/>
      <c r="F117" s="6"/>
      <c r="G117" s="6"/>
      <c r="H117" s="6"/>
      <c r="I117" s="6"/>
    </row>
    <row r="118" spans="1:9" x14ac:dyDescent="0.2">
      <c r="A118" s="32"/>
      <c r="B118" s="6"/>
      <c r="C118" s="6"/>
      <c r="D118" s="6"/>
      <c r="E118" s="6"/>
      <c r="F118" s="6"/>
      <c r="G118" s="6"/>
      <c r="H118" s="6"/>
      <c r="I118" s="6"/>
    </row>
    <row r="119" spans="1:9" x14ac:dyDescent="0.2">
      <c r="A119" s="32"/>
      <c r="B119" s="6"/>
      <c r="C119" s="6"/>
      <c r="D119" s="6"/>
      <c r="E119" s="6"/>
      <c r="F119" s="6"/>
      <c r="G119" s="6"/>
      <c r="H119" s="6"/>
      <c r="I119" s="6"/>
    </row>
    <row r="120" spans="1:9" x14ac:dyDescent="0.2">
      <c r="A120" s="32"/>
      <c r="B120" s="6"/>
      <c r="C120" s="6"/>
      <c r="D120" s="6"/>
      <c r="E120" s="6"/>
      <c r="F120" s="6"/>
      <c r="G120" s="6"/>
      <c r="H120" s="6"/>
      <c r="I120" s="6"/>
    </row>
    <row r="121" spans="1:9" x14ac:dyDescent="0.2">
      <c r="A121" s="32"/>
      <c r="B121" s="6"/>
      <c r="C121" s="6"/>
      <c r="D121" s="6"/>
      <c r="E121" s="6"/>
      <c r="F121" s="6"/>
      <c r="G121" s="6"/>
      <c r="H121" s="6"/>
      <c r="I121" s="6"/>
    </row>
    <row r="122" spans="1:9" x14ac:dyDescent="0.2">
      <c r="A122" s="32"/>
      <c r="B122" s="6"/>
      <c r="C122" s="6"/>
      <c r="D122" s="6"/>
      <c r="E122" s="6"/>
      <c r="F122" s="6"/>
      <c r="G122" s="6"/>
      <c r="H122" s="6"/>
      <c r="I122" s="6"/>
    </row>
  </sheetData>
  <mergeCells count="1">
    <mergeCell ref="E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McLean, Megan</dc:creator>
  <cp:lastModifiedBy>Nicky Watson</cp:lastModifiedBy>
  <dcterms:created xsi:type="dcterms:W3CDTF">2017-01-06T15:52:16Z</dcterms:created>
  <dcterms:modified xsi:type="dcterms:W3CDTF">2017-01-13T13:19:39Z</dcterms:modified>
</cp:coreProperties>
</file>